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21" yWindow="65431" windowWidth="15240" windowHeight="10365" tabRatio="675" activeTab="0"/>
  </bookViews>
  <sheets>
    <sheet name="MENU" sheetId="1" r:id="rId1"/>
    <sheet name="Intro" sheetId="2" r:id="rId2"/>
    <sheet name="z" sheetId="3" r:id="rId3"/>
    <sheet name="t" sheetId="4" r:id="rId4"/>
    <sheet name="F" sheetId="5" r:id="rId5"/>
    <sheet name="ChiSq" sheetId="6" r:id="rId6"/>
    <sheet name="Binomial" sheetId="7" r:id="rId7"/>
    <sheet name="Zr" sheetId="8" r:id="rId8"/>
    <sheet name="Ind r" sheetId="9" r:id="rId9"/>
    <sheet name="Dep r" sheetId="10" r:id="rId10"/>
    <sheet name="CI for P" sheetId="11" r:id="rId11"/>
    <sheet name="Median" sheetId="12" r:id="rId12"/>
    <sheet name="Finite pop" sheetId="13" r:id="rId13"/>
    <sheet name="N for MR" sheetId="14" r:id="rId14"/>
    <sheet name="Pooling" sheetId="15" r:id="rId15"/>
    <sheet name="DV-IDENTITY-0" sheetId="16" state="veryHidden" r:id="rId16"/>
  </sheets>
  <definedNames>
    <definedName name="_xlfn.T.DIST" hidden="1">#NAME?</definedName>
  </definedNames>
  <calcPr fullCalcOnLoad="1"/>
</workbook>
</file>

<file path=xl/comments10.xml><?xml version="1.0" encoding="utf-8"?>
<comments xmlns="http://schemas.openxmlformats.org/spreadsheetml/2006/main">
  <authors>
    <author>A satisfied Microsoft Office user</author>
    <author>Dale Berger</author>
  </authors>
  <commentList>
    <comment ref="B13" authorId="0">
      <text>
        <r>
          <rPr>
            <sz val="11"/>
            <rFont val="Tahoma"/>
            <family val="2"/>
          </rPr>
          <t xml:space="preserve">
We would like to test whether the WRAT test is more strongly correlated with the WISC-R or the McCarthy test.
In a sample of 26 cases, the correlation between WRAT and WISC-R is .80, between WRAT and McCarthy is .72, and between WISC-R and McCarthy is .89.
This example is in Howell (2007) Statistical Methods for Psychology (6th ed.) p. 262.</t>
        </r>
      </text>
    </comment>
    <comment ref="C13" authorId="0">
      <text>
        <r>
          <rPr>
            <sz val="8"/>
            <rFont val="Tahoma"/>
            <family val="2"/>
          </rPr>
          <t xml:space="preserve">
</t>
        </r>
        <r>
          <rPr>
            <sz val="11"/>
            <rFont val="Tahoma"/>
            <family val="2"/>
          </rPr>
          <t xml:space="preserve">t (df=23) = 1.3607, which gives two-tailed p=.1868.
  </t>
        </r>
      </text>
    </comment>
    <comment ref="H9" authorId="1">
      <text>
        <r>
          <rPr>
            <b/>
            <sz val="11"/>
            <rFont val="Tahoma"/>
            <family val="2"/>
          </rPr>
          <t xml:space="preserve">
</t>
        </r>
        <r>
          <rPr>
            <sz val="11"/>
            <rFont val="Tahoma"/>
            <family val="2"/>
          </rPr>
          <t xml:space="preserve">This formula is from Steiger, J. H.  (1980) Tests for comparing elements of a correlation matrix.  </t>
        </r>
        <r>
          <rPr>
            <i/>
            <sz val="11"/>
            <rFont val="Tahoma"/>
            <family val="2"/>
          </rPr>
          <t>Psychological Bulletin, 87,</t>
        </r>
        <r>
          <rPr>
            <sz val="11"/>
            <rFont val="Tahoma"/>
            <family val="2"/>
          </rPr>
          <t xml:space="preserve"> 245-251.
</t>
        </r>
      </text>
    </comment>
    <comment ref="B25" authorId="1">
      <text>
        <r>
          <rPr>
            <sz val="8"/>
            <rFont val="Tahoma"/>
            <family val="2"/>
          </rPr>
          <t xml:space="preserve">
</t>
        </r>
        <r>
          <rPr>
            <sz val="11"/>
            <rFont val="Tahoma"/>
            <family val="2"/>
          </rPr>
          <t xml:space="preserve">We have measures of psychological disorder (V1) and physiological disorder (V2) for a sample of 603 patients, both variables measured on the same occasion.  Six months later we again measure psychological disorder (V3) and physiolgical disorder (V4).  We are interested in comparing the 'cross-lagged' correlations to address the question of whether psychological disorder predicts later physiological disorder better than physiological disorder predicts later psychological disorder.  
          V1      V2      V3      V4         This example is from Raghunathan, T.E., Rosenthal, R., &amp;  
 V1   1.00                                      Rubin, D.B. (1996). </t>
        </r>
        <r>
          <rPr>
            <i/>
            <sz val="11"/>
            <rFont val="Tahoma"/>
            <family val="2"/>
          </rPr>
          <t>Psychological Methods, 1</t>
        </r>
        <r>
          <rPr>
            <sz val="11"/>
            <rFont val="Tahoma"/>
            <family val="2"/>
          </rPr>
          <t xml:space="preserve">, 178-183.
 V2     .45   1.00                            
 V3     .53     </t>
        </r>
        <r>
          <rPr>
            <b/>
            <sz val="12"/>
            <rFont val="Tahoma"/>
            <family val="2"/>
          </rPr>
          <t>.25</t>
        </r>
        <r>
          <rPr>
            <sz val="11"/>
            <rFont val="Tahoma"/>
            <family val="2"/>
          </rPr>
          <t xml:space="preserve">   1.00                   The null hypothesis to be tested is that 
 V4     </t>
        </r>
        <r>
          <rPr>
            <b/>
            <sz val="12"/>
            <rFont val="Tahoma"/>
            <family val="2"/>
          </rPr>
          <t>.38</t>
        </r>
        <r>
          <rPr>
            <b/>
            <sz val="11"/>
            <rFont val="Tahoma"/>
            <family val="2"/>
          </rPr>
          <t xml:space="preserve"> </t>
        </r>
        <r>
          <rPr>
            <sz val="11"/>
            <rFont val="Tahoma"/>
            <family val="2"/>
          </rPr>
          <t xml:space="preserve">    .31     .55   1.0            in the population rho(1,4) = rho(2,3).</t>
        </r>
      </text>
    </comment>
    <comment ref="H18" authorId="1">
      <text>
        <r>
          <rPr>
            <sz val="8"/>
            <rFont val="Tahoma"/>
            <family val="2"/>
          </rPr>
          <t xml:space="preserve">
</t>
        </r>
        <r>
          <rPr>
            <sz val="11"/>
            <rFont val="Tahoma"/>
            <family val="2"/>
          </rPr>
          <t xml:space="preserve">This formula is from Raghunathan, T.E., Rosenthal, R., &amp; Rubin, D.B. (1996).  </t>
        </r>
        <r>
          <rPr>
            <i/>
            <sz val="11"/>
            <rFont val="Tahoma"/>
            <family val="2"/>
          </rPr>
          <t>Psychological Methods, 1,</t>
        </r>
        <r>
          <rPr>
            <sz val="11"/>
            <rFont val="Tahoma"/>
            <family val="2"/>
          </rPr>
          <t xml:space="preserve"> 178-183.
The example is also taken from this paper.</t>
        </r>
      </text>
    </comment>
    <comment ref="C25" authorId="1">
      <text>
        <r>
          <rPr>
            <sz val="11"/>
            <rFont val="Tahoma"/>
            <family val="2"/>
          </rPr>
          <t xml:space="preserve">
The correlations, in order, are .45, .53, .38, .25, .31, and .55, with n=603. Double-check that data are entered correctly.
</t>
        </r>
        <r>
          <rPr>
            <i/>
            <sz val="11"/>
            <rFont val="Tahoma"/>
            <family val="2"/>
          </rPr>
          <t>t</t>
        </r>
        <r>
          <rPr>
            <sz val="11"/>
            <rFont val="Tahoma"/>
            <family val="2"/>
          </rPr>
          <t xml:space="preserve">(df = n-3 = 600) = 2.869, two-tailed </t>
        </r>
        <r>
          <rPr>
            <i/>
            <sz val="11"/>
            <rFont val="Tahoma"/>
            <family val="2"/>
          </rPr>
          <t>p</t>
        </r>
        <r>
          <rPr>
            <sz val="11"/>
            <rFont val="Tahoma"/>
            <family val="2"/>
          </rPr>
          <t xml:space="preserve">=.0043.
Our conclusion is that psychological disorder at Time 1 predicts physiological disorder at Time 2 better than physiological disorder at Time 1 predicts psychological disorder at Time 2.
</t>
        </r>
      </text>
    </comment>
    <comment ref="G12" authorId="1">
      <text>
        <r>
          <rPr>
            <sz val="11"/>
            <rFont val="Tahoma"/>
            <family val="2"/>
          </rPr>
          <t xml:space="preserve">
Use a one-tailed p value ONLY if you are willing to ignore a large difference in the direction opposite to the expectations you had BEFORE you looked at your actual data.</t>
        </r>
        <r>
          <rPr>
            <sz val="8"/>
            <rFont val="Tahoma"/>
            <family val="2"/>
          </rPr>
          <t xml:space="preserve">
</t>
        </r>
        <r>
          <rPr>
            <sz val="11"/>
            <rFont val="Tahoma"/>
            <family val="2"/>
          </rPr>
          <t>Use the smaller p-value if the observed difference is in the hypothesized direction, but the larger p-value if the observed difference is in the opposite direction.</t>
        </r>
      </text>
    </comment>
    <comment ref="G21" authorId="1">
      <text>
        <r>
          <rPr>
            <b/>
            <sz val="8"/>
            <rFont val="Tahoma"/>
            <family val="2"/>
          </rPr>
          <t xml:space="preserve">
</t>
        </r>
        <r>
          <rPr>
            <sz val="11"/>
            <rFont val="Tahoma"/>
            <family val="2"/>
          </rPr>
          <t xml:space="preserve">Use a one-tailed </t>
        </r>
        <r>
          <rPr>
            <i/>
            <sz val="11"/>
            <rFont val="Tahoma"/>
            <family val="2"/>
          </rPr>
          <t>p</t>
        </r>
        <r>
          <rPr>
            <sz val="11"/>
            <rFont val="Tahoma"/>
            <family val="2"/>
          </rPr>
          <t xml:space="preserve"> value ONLY if you are willing to ignore a large difference in the direction opposite to the expectations you had BEFORE you looked at your actual data.
Use the smaller p-value if the observed difference is in the hypothesized direction, but the larger p-value if the observed difference is in the opposite direction.</t>
        </r>
        <r>
          <rPr>
            <sz val="8"/>
            <rFont val="Tahoma"/>
            <family val="2"/>
          </rPr>
          <t xml:space="preserve">
</t>
        </r>
      </text>
    </comment>
  </commentList>
</comments>
</file>

<file path=xl/comments11.xml><?xml version="1.0" encoding="utf-8"?>
<comments xmlns="http://schemas.openxmlformats.org/spreadsheetml/2006/main">
  <authors>
    <author>A satisfied Microsoft Office user</author>
  </authors>
  <commentList>
    <comment ref="I5" authorId="0">
      <text>
        <r>
          <rPr>
            <sz val="11"/>
            <rFont val="Tahoma"/>
            <family val="2"/>
          </rPr>
          <t xml:space="preserve">
This program generates assymetrical confidence intervals for population </t>
        </r>
        <r>
          <rPr>
            <i/>
            <sz val="11"/>
            <rFont val="Tahoma"/>
            <family val="2"/>
          </rPr>
          <t>P</t>
        </r>
        <r>
          <rPr>
            <sz val="11"/>
            <rFont val="Tahoma"/>
            <family val="2"/>
          </rPr>
          <t xml:space="preserve"> values that are more accurate than confidence intervals generated by standard procedures, especially for </t>
        </r>
        <r>
          <rPr>
            <i/>
            <sz val="11"/>
            <rFont val="Tahoma"/>
            <family val="2"/>
          </rPr>
          <t>p</t>
        </r>
        <r>
          <rPr>
            <sz val="11"/>
            <rFont val="Tahoma"/>
            <family val="2"/>
          </rPr>
          <t xml:space="preserve"> values close to 0 or 1 and for small n.
See Agresti, A. and Coull, B. A. (1998). Approximate is better than "exact" for interval estimation of binomial proportions", </t>
        </r>
        <r>
          <rPr>
            <i/>
            <sz val="11"/>
            <rFont val="Tahoma"/>
            <family val="2"/>
          </rPr>
          <t>The American Statistician, 52(2)</t>
        </r>
        <r>
          <rPr>
            <sz val="11"/>
            <rFont val="Tahoma"/>
            <family val="2"/>
          </rPr>
          <t xml:space="preserve">, 119-126
http://www.itl.nist.gov/div898/handbook/prc/section2/prc241.htm </t>
        </r>
      </text>
    </comment>
    <comment ref="I7" authorId="0">
      <text>
        <r>
          <rPr>
            <sz val="11"/>
            <rFont val="Tahoma"/>
            <family val="2"/>
          </rPr>
          <t xml:space="preserve">
Find a two-tailed 95% confidence interval for the population proportion based on a sample with x=2 'successes' out of </t>
        </r>
        <r>
          <rPr>
            <i/>
            <sz val="11"/>
            <rFont val="Tahoma"/>
            <family val="2"/>
          </rPr>
          <t>n</t>
        </r>
        <r>
          <rPr>
            <sz val="11"/>
            <rFont val="Tahoma"/>
            <family val="2"/>
          </rPr>
          <t xml:space="preserve">=50 trials.
Input sample </t>
        </r>
        <r>
          <rPr>
            <i/>
            <sz val="11"/>
            <rFont val="Tahoma"/>
            <family val="2"/>
          </rPr>
          <t>p</t>
        </r>
        <r>
          <rPr>
            <sz val="11"/>
            <rFont val="Tahoma"/>
            <family val="2"/>
          </rPr>
          <t xml:space="preserve">=.04 (i.e., 2/50 = .04), your desired level of confidence for a two-tailed confidence interval (i.e., 95%), and the sample size </t>
        </r>
        <r>
          <rPr>
            <i/>
            <sz val="11"/>
            <rFont val="Tahoma"/>
            <family val="2"/>
          </rPr>
          <t>n</t>
        </r>
        <r>
          <rPr>
            <sz val="11"/>
            <rFont val="Tahoma"/>
            <family val="2"/>
          </rPr>
          <t xml:space="preserve">=50.  
The program calculates confidence limits of .0060 and .2222. We have 95% confidence that these limits captured the population </t>
        </r>
        <r>
          <rPr>
            <i/>
            <sz val="11"/>
            <rFont val="Tahoma"/>
            <family val="2"/>
          </rPr>
          <t>P</t>
        </r>
        <r>
          <rPr>
            <sz val="11"/>
            <rFont val="Tahoma"/>
            <family val="2"/>
          </rPr>
          <t xml:space="preserve">.
For a one-tailed 95% confidence limit, find the limits for a two-tailed 90% CI. Each limit leaves 5% on one side and 95% on the other. </t>
        </r>
      </text>
    </comment>
  </commentList>
</comments>
</file>

<file path=xl/comments12.xml><?xml version="1.0" encoding="utf-8"?>
<comments xmlns="http://schemas.openxmlformats.org/spreadsheetml/2006/main">
  <authors>
    <author>Dale Berger</author>
  </authors>
  <commentList>
    <comment ref="E15" authorId="0">
      <text>
        <r>
          <rPr>
            <sz val="11"/>
            <rFont val="Tahoma"/>
            <family val="2"/>
          </rPr>
          <t xml:space="preserve">
The true median score could be at the upper end or the lower end or anywhere else in an interval defined by a group or 'bin.' 
For this program, observations within the interval containing the median are assumed to be evenly spaced between the values at the real limits of the distribution.  For example, if intervals are coded as 1, 2, 3, etc., the real limits for the interval '2' are assumed to be 1.5 to 2.5.  If there are </t>
        </r>
        <r>
          <rPr>
            <b/>
            <sz val="11"/>
            <rFont val="Tahoma"/>
            <family val="2"/>
          </rPr>
          <t>k</t>
        </r>
        <r>
          <rPr>
            <sz val="11"/>
            <rFont val="Tahoma"/>
            <family val="2"/>
          </rPr>
          <t xml:space="preserve"> scores in an interval, the distance between scores is assumed to be</t>
        </r>
        <r>
          <rPr>
            <b/>
            <sz val="11"/>
            <rFont val="Tahoma"/>
            <family val="2"/>
          </rPr>
          <t xml:space="preserve"> (1/k)*(width of the interval)</t>
        </r>
        <r>
          <rPr>
            <sz val="11"/>
            <rFont val="Tahoma"/>
            <family val="2"/>
          </rPr>
          <t>.  The distance of the extreme points from their ends of the interval are assumed to be half the distance between points within the interval.
The assumption of even spacing might not be appropriate for some intervals, especially in a highly skewed distribution.</t>
        </r>
        <r>
          <rPr>
            <sz val="8"/>
            <rFont val="Tahoma"/>
            <family val="2"/>
          </rPr>
          <t xml:space="preserve">
</t>
        </r>
      </text>
    </comment>
    <comment ref="E7" authorId="0">
      <text>
        <r>
          <rPr>
            <sz val="8"/>
            <rFont val="Tahoma"/>
            <family val="2"/>
          </rPr>
          <t>Total number of observations in the distribution.</t>
        </r>
        <r>
          <rPr>
            <sz val="8"/>
            <rFont val="Tahoma"/>
            <family val="2"/>
          </rPr>
          <t xml:space="preserve">
</t>
        </r>
      </text>
    </comment>
    <comment ref="E8" authorId="0">
      <text>
        <r>
          <rPr>
            <sz val="8"/>
            <rFont val="Tahoma"/>
            <family val="2"/>
          </rPr>
          <t xml:space="preserve">Count all cases in all intervals below the interval which contains the median.
</t>
        </r>
      </text>
    </comment>
    <comment ref="E9" authorId="0">
      <text>
        <r>
          <rPr>
            <sz val="8"/>
            <rFont val="Tahoma"/>
            <family val="2"/>
          </rPr>
          <t xml:space="preserve">To determine which interval contains the median, see the Explanation below.  
</t>
        </r>
      </text>
    </comment>
    <comment ref="E10" authorId="0">
      <text>
        <r>
          <rPr>
            <sz val="8"/>
            <rFont val="Tahoma"/>
            <family val="2"/>
          </rPr>
          <t>Consider categories labeled 1, 2, 3, etc.  The "real" limits of the interval '2' are 1.5 and 2.5, based on the assumption that any case with values between these limits will be put in to the '2' category.  The 'Real lower limit' of the interval labeled '2' would be 1.5 in this example.</t>
        </r>
      </text>
    </comment>
    <comment ref="E11" authorId="0">
      <text>
        <r>
          <rPr>
            <sz val="8"/>
            <rFont val="Tahoma"/>
            <family val="2"/>
          </rPr>
          <t>Consider categories labeled 1, 2, 3, etc.  The "real" limits of the interval '2' are 1.5 and 2.5, based on the assumption that any case with values between these limits will be put in to the '2' category.  The 'Real upper limit' of the interval labeled '2' would be 2.5 in this example.</t>
        </r>
        <r>
          <rPr>
            <sz val="8"/>
            <rFont val="Tahoma"/>
            <family val="2"/>
          </rPr>
          <t xml:space="preserve">
</t>
        </r>
      </text>
    </comment>
    <comment ref="C15" authorId="0">
      <text>
        <r>
          <rPr>
            <sz val="11"/>
            <rFont val="Tahoma"/>
            <family val="2"/>
          </rPr>
          <t xml:space="preserve">
The median is the 'middle' score of an ordered distribution.  If there are</t>
        </r>
        <r>
          <rPr>
            <i/>
            <sz val="11"/>
            <rFont val="Tahoma"/>
            <family val="2"/>
          </rPr>
          <t xml:space="preserve"> n</t>
        </r>
        <r>
          <rPr>
            <sz val="11"/>
            <rFont val="Tahoma"/>
            <family val="2"/>
          </rPr>
          <t xml:space="preserve"> scores in an ordered distribution, the rank of the median score is (</t>
        </r>
        <r>
          <rPr>
            <i/>
            <sz val="11"/>
            <rFont val="Tahoma"/>
            <family val="2"/>
          </rPr>
          <t>n</t>
        </r>
        <r>
          <rPr>
            <sz val="11"/>
            <rFont val="Tahoma"/>
            <family val="2"/>
          </rPr>
          <t xml:space="preserve">+1)/2 from either end.  
If there is an odd number of observations, the median is the value of the middle score.  For example, if there are 9 scores in an ordered distribution (e.g., from low to high values), the median is the value of the (9+1)/2 = 5th score from either end.  
If there is an even number of observations, the median falls halfway between the two middle scores.  For example, if there are 10 scores in an ordered distribution, the median is the value of the  (10+1)/2 = 5.5th score from either end.  That is, the median is estimated to be the value halfway between the values for the 5th and the 6th scores. </t>
        </r>
        <r>
          <rPr>
            <b/>
            <sz val="11"/>
            <rFont val="Tahoma"/>
            <family val="2"/>
          </rPr>
          <t xml:space="preserve"> </t>
        </r>
        <r>
          <rPr>
            <sz val="8"/>
            <rFont val="Tahoma"/>
            <family val="2"/>
          </rPr>
          <t xml:space="preserve">
</t>
        </r>
      </text>
    </comment>
    <comment ref="G15" authorId="0">
      <text>
        <r>
          <rPr>
            <sz val="11"/>
            <rFont val="Tahoma"/>
            <family val="2"/>
          </rPr>
          <t xml:space="preserve">   
          Estimate the Median Income in City A and City B
                                    frequency
</t>
        </r>
        <r>
          <rPr>
            <u val="single"/>
            <sz val="11"/>
            <rFont val="Tahoma"/>
            <family val="2"/>
          </rPr>
          <t xml:space="preserve">    Interval                     A           B   </t>
        </r>
        <r>
          <rPr>
            <sz val="11"/>
            <rFont val="Tahoma"/>
            <family val="2"/>
          </rPr>
          <t xml:space="preserve">
 $ Under $10,000           10            2
$10,000 - $29,999          10            3
$30,000 - $59,999          16          16
$60,000 - $99,999            3          10
$100,000 and up              2          10
Total N=41 so the median is the 21st score, which falls in the interval $30,000 to $59,999 for both cities. However, if incomes are distributed evenly across the interval, the median for City A is toward the low end of the interval while it is toward the high end for City B.
The program estimates the median to be $30,938 fpr City A and $59,062 for City B. This is more informative than simply reporting the median to be in the $30,000 to $59,999 interval for both cities.</t>
        </r>
      </text>
    </comment>
  </commentList>
</comments>
</file>

<file path=xl/comments13.xml><?xml version="1.0" encoding="utf-8"?>
<comments xmlns="http://schemas.openxmlformats.org/spreadsheetml/2006/main">
  <authors>
    <author>A satisfied Microsoft Office user</author>
  </authors>
  <commentList>
    <comment ref="H8" authorId="0">
      <text>
        <r>
          <rPr>
            <sz val="8"/>
            <rFont val="Tahoma"/>
            <family val="2"/>
          </rPr>
          <t xml:space="preserve">
</t>
        </r>
        <r>
          <rPr>
            <sz val="11"/>
            <rFont val="Tahoma"/>
            <family val="2"/>
          </rPr>
          <t>This program will calculate the sample size (n) needed to have a desired degree of accuracy (sigma x bar) if you specify the population size (N), population standard deviation (sigma x) and sigma x bar.
We assume random sampling, normally distributed sampling distributions,etc.</t>
        </r>
        <r>
          <rPr>
            <sz val="8"/>
            <rFont val="Tahoma"/>
            <family val="2"/>
          </rPr>
          <t xml:space="preserve">
</t>
        </r>
      </text>
    </comment>
    <comment ref="H10" authorId="0">
      <text>
        <r>
          <rPr>
            <sz val="8"/>
            <rFont val="Tahoma"/>
            <family val="2"/>
          </rPr>
          <t xml:space="preserve">
</t>
        </r>
        <r>
          <rPr>
            <sz val="11"/>
            <rFont val="Tahoma"/>
            <family val="2"/>
          </rPr>
          <t>Find the sample size needed to have a standard error for the mean (i.e., sigma x bar) to be .1 for a variable with population standard deviation (sigma x) equal to 1.0. Assume a normally distributed sampling distribution.
If the population has N=1000 cases, the program computes that we need a sample size n = 91.  If the population has N=100 cases, then a sample of n=51 (50.3) will give the desired level of accuracy.
Note that a sample of 100 has about the same precision for a population where N=10,000 as for a population where N=1,000,000.</t>
        </r>
      </text>
    </comment>
  </commentList>
</comments>
</file>

<file path=xl/comments14.xml><?xml version="1.0" encoding="utf-8"?>
<comments xmlns="http://schemas.openxmlformats.org/spreadsheetml/2006/main">
  <authors>
    <author>Dale Berger</author>
  </authors>
  <commentList>
    <comment ref="E11" authorId="0">
      <text>
        <r>
          <rPr>
            <sz val="11"/>
            <rFont val="Tahoma"/>
            <family val="2"/>
          </rPr>
          <t xml:space="preserve">
This is the semi-partial correlation squared.</t>
        </r>
        <r>
          <rPr>
            <sz val="8"/>
            <rFont val="Tahoma"/>
            <family val="2"/>
          </rPr>
          <t xml:space="preserve">
</t>
        </r>
      </text>
    </comment>
    <comment ref="J4" authorId="0">
      <text>
        <r>
          <rPr>
            <sz val="11"/>
            <rFont val="Tahoma"/>
            <family val="2"/>
          </rPr>
          <t>Source:
Tables E.1 and E.2 in Cohen, Cohen, West, and Aiken (2003).
Applied multiple regression/correlation analysis for the behavioral sciences (3rd ed.). Mahwah, NJ: LEA</t>
        </r>
        <r>
          <rPr>
            <sz val="8"/>
            <rFont val="Tahoma"/>
            <family val="2"/>
          </rPr>
          <t xml:space="preserve">
</t>
        </r>
      </text>
    </comment>
    <comment ref="D16" authorId="0">
      <text>
        <r>
          <rPr>
            <b/>
            <sz val="8"/>
            <rFont val="Tahoma"/>
            <family val="2"/>
          </rPr>
          <t xml:space="preserve">
</t>
        </r>
        <r>
          <rPr>
            <sz val="12"/>
            <rFont val="Times New Roman"/>
            <family val="1"/>
          </rPr>
          <t xml:space="preserve">Source: Maxwell, Scott E. (2000). Sample size and multiple regression analysis. </t>
        </r>
        <r>
          <rPr>
            <i/>
            <sz val="12"/>
            <rFont val="Times New Roman"/>
            <family val="1"/>
          </rPr>
          <t>Psychological Methods, 5</t>
        </r>
        <r>
          <rPr>
            <sz val="12"/>
            <rFont val="Times New Roman"/>
            <family val="1"/>
          </rPr>
          <t>, 434-458.</t>
        </r>
        <r>
          <rPr>
            <sz val="11"/>
            <rFont val="Tahoma"/>
            <family val="2"/>
          </rPr>
          <t xml:space="preserve">
</t>
        </r>
      </text>
    </comment>
    <comment ref="E16" authorId="0">
      <text>
        <r>
          <rPr>
            <sz val="11"/>
            <rFont val="Tahoma"/>
            <family val="2"/>
          </rPr>
          <t xml:space="preserve">
</t>
        </r>
        <r>
          <rPr>
            <sz val="14"/>
            <rFont val="Times New Roman"/>
            <family val="1"/>
          </rPr>
          <t>These calculations are based on the assumption that all predictors (X) have the same correlation with the criterion variable (Y), and that all correlations between pairs of predictors are equal to each other.
Note that a much larger sample is needed to test individual regression coefficients than is needed to test the overall multiple R squared.</t>
        </r>
      </text>
    </comment>
    <comment ref="E12" authorId="0">
      <text>
        <r>
          <rPr>
            <sz val="14"/>
            <rFont val="Times New Roman"/>
            <family val="1"/>
          </rPr>
          <t xml:space="preserve">
Population multiple R squared based on information provided.</t>
        </r>
        <r>
          <rPr>
            <sz val="8"/>
            <rFont val="Tahoma"/>
            <family val="2"/>
          </rPr>
          <t xml:space="preserve">
</t>
        </r>
      </text>
    </comment>
    <comment ref="E13" authorId="0">
      <text>
        <r>
          <rPr>
            <sz val="14"/>
            <rFont val="Times New Roman"/>
            <family val="1"/>
          </rPr>
          <t xml:space="preserve">
Number of cases needed to attain the specified level of power and alpha error for a test of each individual regression coefficient, given the assumptions about correlations between variables, and no adjustments for multiple tests.
</t>
        </r>
      </text>
    </comment>
    <comment ref="E14" authorId="0">
      <text>
        <r>
          <rPr>
            <sz val="12"/>
            <rFont val="Times New Roman"/>
            <family val="1"/>
          </rPr>
          <t xml:space="preserve">
</t>
        </r>
        <r>
          <rPr>
            <sz val="14"/>
            <rFont val="Times New Roman"/>
            <family val="1"/>
          </rPr>
          <t>Number of cases needed to attain the specified level of power and alpha error for a test of the overall multiple R squared, given the assumptions about correlations between variables.</t>
        </r>
      </text>
    </comment>
    <comment ref="G16" authorId="0">
      <text>
        <r>
          <rPr>
            <sz val="14"/>
            <rFont val="Times New Roman"/>
            <family val="1"/>
          </rPr>
          <t xml:space="preserve">
How many cases do we need to sample to have an 80% chance of attaining statistical significance with alpha = .05 for a test of the last variable entered into the model?
Example 1: We have 5 predictors, each correlated r=.40 with Y and each correlated r=.30 with each other. 
Example 2: We have 5 predictors, each correlated r=.30 with Y and each correlated r=.40 with each other. 
Use L=7.85      Example 1: n*=191;   Example 2: n*=692</t>
        </r>
      </text>
    </comment>
    <comment ref="H16" authorId="0">
      <text>
        <r>
          <rPr>
            <b/>
            <sz val="8"/>
            <rFont val="Tahoma"/>
            <family val="2"/>
          </rPr>
          <t xml:space="preserve">
</t>
        </r>
        <r>
          <rPr>
            <sz val="14"/>
            <rFont val="Times New Roman"/>
            <family val="1"/>
          </rPr>
          <t xml:space="preserve">This method of power analysis is superior to methods that assume predictors are uncorrelated with each other. In reality, the pattern of correlations may be much more complex. 
A method for modeling complex covariance structures is described by Aberson, C. L. (2010). </t>
        </r>
        <r>
          <rPr>
            <i/>
            <sz val="14"/>
            <rFont val="Times New Roman"/>
            <family val="1"/>
          </rPr>
          <t>Applied Power Analysis for the Behavioral Sciences.</t>
        </r>
        <r>
          <rPr>
            <sz val="14"/>
            <rFont val="Times New Roman"/>
            <family val="1"/>
          </rPr>
          <t xml:space="preserve"> New York: Routledge</t>
        </r>
      </text>
    </comment>
  </commentList>
</comments>
</file>

<file path=xl/comments15.xml><?xml version="1.0" encoding="utf-8"?>
<comments xmlns="http://schemas.openxmlformats.org/spreadsheetml/2006/main">
  <authors>
    <author>Dale Berger</author>
  </authors>
  <commentList>
    <comment ref="F5" authorId="0">
      <text>
        <r>
          <rPr>
            <b/>
            <sz val="8"/>
            <rFont val="Tahoma"/>
            <family val="2"/>
          </rPr>
          <t xml:space="preserve">
</t>
        </r>
        <r>
          <rPr>
            <sz val="14"/>
            <rFont val="Times New Roman"/>
            <family val="1"/>
          </rPr>
          <t>These calculations of SD and variance are based on pooling the 'within group' variances.</t>
        </r>
        <r>
          <rPr>
            <sz val="8"/>
            <rFont val="Tahoma"/>
            <family val="2"/>
          </rPr>
          <t xml:space="preserve">
</t>
        </r>
      </text>
    </comment>
    <comment ref="G5" authorId="0">
      <text>
        <r>
          <rPr>
            <b/>
            <sz val="8"/>
            <rFont val="Tahoma"/>
            <family val="2"/>
          </rPr>
          <t xml:space="preserve">
</t>
        </r>
        <r>
          <rPr>
            <sz val="14"/>
            <rFont val="Times New Roman"/>
            <family val="1"/>
          </rPr>
          <t>These estimates of SD and Variance are calculated as if all observations were from one group.</t>
        </r>
        <r>
          <rPr>
            <sz val="8"/>
            <rFont val="Tahoma"/>
            <family val="2"/>
          </rPr>
          <t xml:space="preserve">
</t>
        </r>
      </text>
    </comment>
    <comment ref="C8" authorId="0">
      <text>
        <r>
          <rPr>
            <b/>
            <sz val="8"/>
            <rFont val="Tahoma"/>
            <family val="2"/>
          </rPr>
          <t xml:space="preserve">
</t>
        </r>
        <r>
          <rPr>
            <b/>
            <sz val="12"/>
            <rFont val="Tahoma"/>
            <family val="2"/>
          </rPr>
          <t>The standard deviation (SD) is an unbiased estimate of the population variance, as calculated with the formula that uses (n-1) in the denominator.</t>
        </r>
        <r>
          <rPr>
            <sz val="8"/>
            <rFont val="Tahoma"/>
            <family val="2"/>
          </rPr>
          <t xml:space="preserve">
</t>
        </r>
      </text>
    </comment>
  </commentList>
</comments>
</file>

<file path=xl/comments3.xml><?xml version="1.0" encoding="utf-8"?>
<comments xmlns="http://schemas.openxmlformats.org/spreadsheetml/2006/main">
  <authors>
    <author>Dale Berger</author>
  </authors>
  <commentList>
    <comment ref="D18" authorId="0">
      <text>
        <r>
          <rPr>
            <sz val="11"/>
            <rFont val="Tahoma"/>
            <family val="2"/>
          </rPr>
          <t xml:space="preserve">
This is the absolute value for the two-tailed z; 
the actual value may be either positive or negative.
</t>
        </r>
        <r>
          <rPr>
            <sz val="8"/>
            <rFont val="Tahoma"/>
            <family val="2"/>
          </rPr>
          <t xml:space="preserve">
</t>
        </r>
      </text>
    </comment>
    <comment ref="D19" authorId="0">
      <text>
        <r>
          <rPr>
            <sz val="12"/>
            <rFont val="Tahoma"/>
            <family val="2"/>
          </rPr>
          <t xml:space="preserve">
'p value' refers to the upper tail probability.  
Thus, when p&gt;.50, the value for one-tailed z is negative. 
</t>
        </r>
      </text>
    </comment>
    <comment ref="D10" authorId="0">
      <text>
        <r>
          <rPr>
            <sz val="12"/>
            <rFont val="Tahoma"/>
            <family val="2"/>
          </rPr>
          <t xml:space="preserve">
Probability of obtaining a z score as large or larger than the Input z 
(upper tail probability for the Input z).</t>
        </r>
        <r>
          <rPr>
            <sz val="8"/>
            <rFont val="Tahoma"/>
            <family val="2"/>
          </rPr>
          <t xml:space="preserve">
</t>
        </r>
      </text>
    </comment>
    <comment ref="D9" authorId="0">
      <text>
        <r>
          <rPr>
            <b/>
            <sz val="8"/>
            <rFont val="Tahoma"/>
            <family val="2"/>
          </rPr>
          <t xml:space="preserve">
</t>
        </r>
        <r>
          <rPr>
            <sz val="11"/>
            <rFont val="Tahoma"/>
            <family val="2"/>
          </rPr>
          <t>Probability of obtaining a z score as large or larger than the absolute value of the Input z.</t>
        </r>
        <r>
          <rPr>
            <sz val="8"/>
            <rFont val="Tahoma"/>
            <family val="2"/>
          </rPr>
          <t xml:space="preserve">
</t>
        </r>
      </text>
    </comment>
  </commentList>
</comments>
</file>

<file path=xl/comments4.xml><?xml version="1.0" encoding="utf-8"?>
<comments xmlns="http://schemas.openxmlformats.org/spreadsheetml/2006/main">
  <authors>
    <author>Dale Berger</author>
  </authors>
  <commentList>
    <comment ref="D24" authorId="0">
      <text>
        <r>
          <rPr>
            <b/>
            <sz val="8"/>
            <rFont val="Tahoma"/>
            <family val="2"/>
          </rPr>
          <t xml:space="preserve">
This is the absolute value for the two-tailed t; the actual value may be either positive or negative.</t>
        </r>
        <r>
          <rPr>
            <sz val="8"/>
            <rFont val="Tahoma"/>
            <family val="2"/>
          </rPr>
          <t xml:space="preserve">
</t>
        </r>
      </text>
    </comment>
    <comment ref="D25" authorId="0">
      <text>
        <r>
          <rPr>
            <b/>
            <sz val="8"/>
            <rFont val="Tahoma"/>
            <family val="2"/>
          </rPr>
          <t xml:space="preserve">
'p value' refers to the upper tail probability.  Thus, when p&gt;.50, the value for one-tailed t is negative. 
</t>
        </r>
      </text>
    </comment>
    <comment ref="D13" authorId="0">
      <text>
        <r>
          <rPr>
            <b/>
            <sz val="8"/>
            <rFont val="Tahoma"/>
            <family val="2"/>
          </rPr>
          <t xml:space="preserve">
One-tail p value refers to the upper tail probability.  
Thus, when t is negative,  one-tailed p&gt;.50. </t>
        </r>
        <r>
          <rPr>
            <sz val="8"/>
            <rFont val="Tahoma"/>
            <family val="2"/>
          </rPr>
          <t xml:space="preserve">
</t>
        </r>
      </text>
    </comment>
  </commentList>
</comments>
</file>

<file path=xl/comments7.xml><?xml version="1.0" encoding="utf-8"?>
<comments xmlns="http://schemas.openxmlformats.org/spreadsheetml/2006/main">
  <authors>
    <author>Dale Berger</author>
  </authors>
  <commentList>
    <comment ref="B15" authorId="0">
      <text>
        <r>
          <rPr>
            <sz val="8"/>
            <rFont val="Tahoma"/>
            <family val="2"/>
          </rPr>
          <t xml:space="preserve">
</t>
        </r>
        <r>
          <rPr>
            <sz val="11"/>
            <rFont val="Tahoma"/>
            <family val="2"/>
          </rPr>
          <t>If the probability of a success is .65 on each trial, what is the probability of at least 100 successes in the next 120 independent trials?</t>
        </r>
      </text>
    </comment>
    <comment ref="B17" authorId="0">
      <text>
        <r>
          <rPr>
            <b/>
            <sz val="8"/>
            <rFont val="Tahoma"/>
            <family val="2"/>
          </rPr>
          <t xml:space="preserve">
</t>
        </r>
        <r>
          <rPr>
            <sz val="11"/>
            <rFont val="Tahoma"/>
            <family val="2"/>
          </rPr>
          <t xml:space="preserve">The sample size is n=120, and the probability of success is p=.65.  We wish to know the probability that the number of successes (x) is greater than or equal to the specified value of 100 (X).  We find p(x&gt;=X) is .000007, a very small probability indeed.  </t>
        </r>
        <r>
          <rPr>
            <sz val="8"/>
            <rFont val="Tahoma"/>
            <family val="2"/>
          </rPr>
          <t xml:space="preserve">
</t>
        </r>
      </text>
    </comment>
    <comment ref="B16" authorId="0">
      <text>
        <r>
          <rPr>
            <sz val="10"/>
            <rFont val="Tahoma"/>
            <family val="2"/>
          </rPr>
          <t xml:space="preserve">
If the probability of a success is .65 on each trial, what is the probability of at least 100 successes in the next 120 independent trials?
</t>
        </r>
        <r>
          <rPr>
            <b/>
            <sz val="12"/>
            <rFont val="Tahoma"/>
            <family val="2"/>
          </rPr>
          <t xml:space="preserve"> n=120;  X = 100;  p = .65</t>
        </r>
      </text>
    </comment>
  </commentList>
</comments>
</file>

<file path=xl/comments8.xml><?xml version="1.0" encoding="utf-8"?>
<comments xmlns="http://schemas.openxmlformats.org/spreadsheetml/2006/main">
  <authors>
    <author>Dale Berger</author>
  </authors>
  <commentList>
    <comment ref="J5" authorId="0">
      <text>
        <r>
          <rPr>
            <sz val="8"/>
            <rFont val="Tahoma"/>
            <family val="2"/>
          </rPr>
          <t xml:space="preserve">
</t>
        </r>
        <r>
          <rPr>
            <sz val="12"/>
            <rFont val="Times New Roman"/>
            <family val="1"/>
          </rPr>
          <t xml:space="preserve">The sampling distribution for a correlation is the distribution of all possible correlations for samples of a given size, n, drawn from a population with a population correlation of rho.
If a correlation is zero in a population, then the sampling distribution is symmetrical around zero. The null hypothesis that the population correlation is zero can be tested with a t-test.
However, if a population correlation is non-zero, then the sampling distribution is skewed. Fisher's r' statistic is normally distributed with a standard deviation of 1 divided by the square root of n-3. Test procedures that required a normally distributed variable can be applied to Fishers r'. </t>
        </r>
        <r>
          <rPr>
            <sz val="8"/>
            <rFont val="Tahoma"/>
            <family val="2"/>
          </rPr>
          <t xml:space="preserve">
</t>
        </r>
      </text>
    </comment>
  </commentList>
</comments>
</file>

<file path=xl/comments9.xml><?xml version="1.0" encoding="utf-8"?>
<comments xmlns="http://schemas.openxmlformats.org/spreadsheetml/2006/main">
  <authors>
    <author>A satisfied Microsoft Office user</author>
    <author>Dale Berger</author>
  </authors>
  <commentList>
    <comment ref="B11" authorId="0">
      <text>
        <r>
          <rPr>
            <sz val="8"/>
            <rFont val="Tahoma"/>
            <family val="2"/>
          </rPr>
          <t xml:space="preserve"> 
It is known that the correlation between education and income for the population of Euro-American men is .63.  A study found the correlation between education and income to be .47 for a sample of 103 African-American men.
 Is this statistically significant evidence that the correlation between education and income is different in Euro-American and African-American populations?
</t>
        </r>
      </text>
    </comment>
    <comment ref="C11" authorId="0">
      <text>
        <r>
          <rPr>
            <sz val="8"/>
            <rFont val="Tahoma"/>
            <family val="2"/>
          </rPr>
          <t xml:space="preserve">
The sample correlation is .47, the hypothesized population correlation is .63, and the sample size is 103.
The calculated z is -2.3135.  A one-tailed test is appropriate only if you are willing to ignore a difference in the direction opposite to expectation, before you look at your data.
The two-tailed p=.0207.</t>
        </r>
      </text>
    </comment>
    <comment ref="B22" authorId="0">
      <text>
        <r>
          <rPr>
            <sz val="11"/>
            <rFont val="Tahoma"/>
            <family val="2"/>
          </rPr>
          <t xml:space="preserve">
A study found the correlation between education and income to be .47 for a random sample of 103 African-American men, and .63 for a random sample of 82 Euro-American men.  
Is this statistically significant evidence that the correlation between education and income is different in the populations of African-American and Euro-American males?</t>
        </r>
        <r>
          <rPr>
            <sz val="8"/>
            <rFont val="Tahoma"/>
            <family val="2"/>
          </rPr>
          <t xml:space="preserve">
</t>
        </r>
      </text>
    </comment>
    <comment ref="C22" authorId="0">
      <text>
        <r>
          <rPr>
            <sz val="8"/>
            <rFont val="Tahoma"/>
            <family val="2"/>
          </rPr>
          <t xml:space="preserve">
</t>
        </r>
        <r>
          <rPr>
            <sz val="11"/>
            <rFont val="Tahoma"/>
            <family val="2"/>
          </rPr>
          <t>For the first population, the sample correlation is .47 based on 103 cases.  For the second population, the sample correlation is .63 for a sample of 82 cases.
The calculated z is 1.5369, a value that does not attain statistical significance, even for a one-tailed test.
Notice the important difference between comparing a sample correlation to a population value (1) and to another sample correlation(2).  See what happens if you use n2=1000000.
A one-tailed test is appropriate only if you are willing to ignore a difference in the direction opposite to expectation, before you look at your data.</t>
        </r>
        <r>
          <rPr>
            <sz val="8"/>
            <rFont val="Tahoma"/>
            <family val="2"/>
          </rPr>
          <t xml:space="preserve">
</t>
        </r>
      </text>
    </comment>
    <comment ref="I9" authorId="1">
      <text>
        <r>
          <rPr>
            <sz val="11"/>
            <rFont val="Tahoma"/>
            <family val="2"/>
          </rPr>
          <t xml:space="preserve">
Lower tail </t>
        </r>
        <r>
          <rPr>
            <i/>
            <sz val="11"/>
            <rFont val="Tahoma"/>
            <family val="2"/>
          </rPr>
          <t>p</t>
        </r>
        <r>
          <rPr>
            <sz val="11"/>
            <rFont val="Tahoma"/>
            <family val="2"/>
          </rPr>
          <t>-value</t>
        </r>
        <r>
          <rPr>
            <b/>
            <sz val="8"/>
            <rFont val="Tahoma"/>
            <family val="2"/>
          </rPr>
          <t xml:space="preserve">
</t>
        </r>
        <r>
          <rPr>
            <sz val="8"/>
            <rFont val="Tahoma"/>
            <family val="2"/>
          </rPr>
          <t xml:space="preserve">
</t>
        </r>
      </text>
    </comment>
    <comment ref="I19" authorId="1">
      <text>
        <r>
          <rPr>
            <b/>
            <sz val="8"/>
            <rFont val="Tahoma"/>
            <family val="2"/>
          </rPr>
          <t xml:space="preserve">
</t>
        </r>
        <r>
          <rPr>
            <sz val="11"/>
            <rFont val="Tahoma"/>
            <family val="2"/>
          </rPr>
          <t xml:space="preserve">Lower tail </t>
        </r>
        <r>
          <rPr>
            <i/>
            <sz val="11"/>
            <rFont val="Tahoma"/>
            <family val="2"/>
          </rPr>
          <t>p</t>
        </r>
        <r>
          <rPr>
            <sz val="11"/>
            <rFont val="Tahoma"/>
            <family val="2"/>
          </rPr>
          <t>-value</t>
        </r>
        <r>
          <rPr>
            <b/>
            <sz val="8"/>
            <rFont val="Tahoma"/>
            <family val="2"/>
          </rPr>
          <t xml:space="preserve">
</t>
        </r>
        <r>
          <rPr>
            <sz val="8"/>
            <rFont val="Tahoma"/>
            <family val="2"/>
          </rPr>
          <t xml:space="preserve">
</t>
        </r>
      </text>
    </comment>
    <comment ref="H9" authorId="1">
      <text>
        <r>
          <rPr>
            <sz val="8"/>
            <rFont val="Tahoma"/>
            <family val="2"/>
          </rPr>
          <t xml:space="preserve">
</t>
        </r>
        <r>
          <rPr>
            <sz val="11"/>
            <rFont val="Tahoma"/>
            <family val="2"/>
          </rPr>
          <t xml:space="preserve">Upper tail </t>
        </r>
        <r>
          <rPr>
            <i/>
            <sz val="11"/>
            <rFont val="Tahoma"/>
            <family val="2"/>
          </rPr>
          <t>p</t>
        </r>
        <r>
          <rPr>
            <sz val="11"/>
            <rFont val="Tahoma"/>
            <family val="2"/>
          </rPr>
          <t>-value</t>
        </r>
        <r>
          <rPr>
            <sz val="8"/>
            <rFont val="Tahoma"/>
            <family val="2"/>
          </rPr>
          <t xml:space="preserve">
</t>
        </r>
      </text>
    </comment>
    <comment ref="H19" authorId="1">
      <text>
        <r>
          <rPr>
            <sz val="11"/>
            <rFont val="Tahoma"/>
            <family val="2"/>
          </rPr>
          <t xml:space="preserve">
Upper tail </t>
        </r>
        <r>
          <rPr>
            <i/>
            <sz val="11"/>
            <rFont val="Tahoma"/>
            <family val="2"/>
          </rPr>
          <t>p</t>
        </r>
        <r>
          <rPr>
            <sz val="11"/>
            <rFont val="Tahoma"/>
            <family val="2"/>
          </rPr>
          <t>-value</t>
        </r>
        <r>
          <rPr>
            <sz val="8"/>
            <rFont val="Tahoma"/>
            <family val="2"/>
          </rPr>
          <t xml:space="preserve">
</t>
        </r>
      </text>
    </comment>
  </commentList>
</comments>
</file>

<file path=xl/sharedStrings.xml><?xml version="1.0" encoding="utf-8"?>
<sst xmlns="http://schemas.openxmlformats.org/spreadsheetml/2006/main" count="208" uniqueCount="154">
  <si>
    <t>Input:</t>
  </si>
  <si>
    <t>Output:</t>
  </si>
  <si>
    <r>
      <t>p</t>
    </r>
    <r>
      <rPr>
        <b/>
        <sz val="12"/>
        <rFont val="Times New Roman"/>
        <family val="1"/>
      </rPr>
      <t xml:space="preserve"> value =</t>
    </r>
    <r>
      <rPr>
        <b/>
        <sz val="12"/>
        <rFont val="Times New Roman"/>
        <family val="1"/>
      </rPr>
      <t xml:space="preserve"> </t>
    </r>
  </si>
  <si>
    <r>
      <t>df</t>
    </r>
    <r>
      <rPr>
        <b/>
        <sz val="12"/>
        <rFont val="Times New Roman"/>
        <family val="1"/>
      </rPr>
      <t xml:space="preserve"> =</t>
    </r>
  </si>
  <si>
    <r>
      <t>t</t>
    </r>
    <r>
      <rPr>
        <b/>
        <sz val="12"/>
        <rFont val="Times New Roman"/>
        <family val="1"/>
      </rPr>
      <t xml:space="preserve"> = </t>
    </r>
  </si>
  <si>
    <t>To calculate F</t>
  </si>
  <si>
    <r>
      <t>df</t>
    </r>
    <r>
      <rPr>
        <b/>
        <vertAlign val="subscript"/>
        <sz val="12"/>
        <rFont val="Times New Roman"/>
        <family val="1"/>
      </rPr>
      <t>num</t>
    </r>
    <r>
      <rPr>
        <b/>
        <sz val="12"/>
        <rFont val="Times New Roman"/>
        <family val="1"/>
      </rPr>
      <t xml:space="preserve"> =</t>
    </r>
  </si>
  <si>
    <r>
      <t>df</t>
    </r>
    <r>
      <rPr>
        <b/>
        <vertAlign val="subscript"/>
        <sz val="12"/>
        <rFont val="Times New Roman"/>
        <family val="1"/>
      </rPr>
      <t>denom</t>
    </r>
    <r>
      <rPr>
        <b/>
        <sz val="12"/>
        <rFont val="Times New Roman"/>
        <family val="1"/>
      </rPr>
      <t xml:space="preserve"> =</t>
    </r>
  </si>
  <si>
    <r>
      <t>F</t>
    </r>
    <r>
      <rPr>
        <b/>
        <sz val="12"/>
        <rFont val="Times New Roman"/>
        <family val="1"/>
      </rPr>
      <t xml:space="preserve"> = </t>
    </r>
  </si>
  <si>
    <r>
      <t xml:space="preserve">To calculate </t>
    </r>
    <r>
      <rPr>
        <b/>
        <i/>
        <sz val="12"/>
        <rFont val="Symbol"/>
        <family val="1"/>
      </rPr>
      <t>c</t>
    </r>
    <r>
      <rPr>
        <b/>
        <vertAlign val="superscript"/>
        <sz val="12"/>
        <rFont val="Times New Roman"/>
        <family val="1"/>
      </rPr>
      <t>2</t>
    </r>
  </si>
  <si>
    <r>
      <t xml:space="preserve">upper tail </t>
    </r>
    <r>
      <rPr>
        <b/>
        <i/>
        <sz val="12"/>
        <rFont val="Times New Roman"/>
        <family val="1"/>
      </rPr>
      <t>p</t>
    </r>
    <r>
      <rPr>
        <b/>
        <sz val="12"/>
        <rFont val="Times New Roman"/>
        <family val="1"/>
      </rPr>
      <t xml:space="preserve"> </t>
    </r>
  </si>
  <si>
    <t>df =</t>
  </si>
  <si>
    <r>
      <t>c</t>
    </r>
    <r>
      <rPr>
        <b/>
        <vertAlign val="superscript"/>
        <sz val="12"/>
        <rFont val="Symbol"/>
        <family val="1"/>
      </rPr>
      <t>2</t>
    </r>
    <r>
      <rPr>
        <b/>
        <sz val="12"/>
        <rFont val="Times New Roman"/>
        <family val="1"/>
      </rPr>
      <t xml:space="preserve"> = </t>
    </r>
  </si>
  <si>
    <t>Tests for independent sample correlations</t>
  </si>
  <si>
    <t>z value:</t>
  </si>
  <si>
    <t>1-tailed p:</t>
  </si>
  <si>
    <t>2-tailed p:</t>
  </si>
  <si>
    <t>Answer</t>
  </si>
  <si>
    <t>About this program</t>
  </si>
  <si>
    <t>Example</t>
  </si>
  <si>
    <t>Calculations:</t>
  </si>
  <si>
    <t>Calculation of sample size for finite populations</t>
  </si>
  <si>
    <t>N</t>
  </si>
  <si>
    <t>n</t>
  </si>
  <si>
    <t xml:space="preserve">Example </t>
  </si>
  <si>
    <r>
      <t xml:space="preserve">To calculate </t>
    </r>
    <r>
      <rPr>
        <b/>
        <sz val="12"/>
        <rFont val="Times New Roman"/>
        <family val="1"/>
      </rPr>
      <t>p</t>
    </r>
  </si>
  <si>
    <r>
      <t>p</t>
    </r>
    <r>
      <rPr>
        <b/>
        <sz val="12"/>
        <rFont val="Times New Roman"/>
        <family val="1"/>
      </rPr>
      <t xml:space="preserve"> = </t>
    </r>
  </si>
  <si>
    <t>F distribution</t>
  </si>
  <si>
    <t>To calculate p</t>
  </si>
  <si>
    <t>p(x=X)</t>
  </si>
  <si>
    <t>p(x&lt;=X)</t>
  </si>
  <si>
    <t>p(x&gt;=X)</t>
  </si>
  <si>
    <t>Sample size (n)</t>
  </si>
  <si>
    <t>Number of successes (X)</t>
  </si>
  <si>
    <t>Probability of success (p)</t>
  </si>
  <si>
    <t>Total n</t>
  </si>
  <si>
    <t>Computation of Median for Grouped Data</t>
  </si>
  <si>
    <t>Cumulative number in intervals below interval containing the median</t>
  </si>
  <si>
    <t>Number of observations in the interval containing the median</t>
  </si>
  <si>
    <t>Real lower limit of critical interval</t>
  </si>
  <si>
    <t>Real upper limit of critical interval</t>
  </si>
  <si>
    <t>Explanation</t>
  </si>
  <si>
    <t>r</t>
  </si>
  <si>
    <t>Main Menu</t>
  </si>
  <si>
    <t>Dale Berger, Professor</t>
  </si>
  <si>
    <t>Psychology Department</t>
  </si>
  <si>
    <t xml:space="preserve">Claremont Graduate University </t>
  </si>
  <si>
    <t>123 East Eighth Street</t>
  </si>
  <si>
    <t>Claremont, CA  91711</t>
  </si>
  <si>
    <t>See especially the tutorials and applets (e.g., sampling distributions, power)</t>
  </si>
  <si>
    <t>Input</t>
  </si>
  <si>
    <t xml:space="preserve">  Output:</t>
  </si>
  <si>
    <r>
      <t xml:space="preserve">For statistics resources on the Internet, go to </t>
    </r>
    <r>
      <rPr>
        <b/>
        <sz val="12"/>
        <rFont val="Times New Roman"/>
        <family val="1"/>
      </rPr>
      <t>http://wise.cgu.edu</t>
    </r>
  </si>
  <si>
    <r>
      <t>p</t>
    </r>
    <r>
      <rPr>
        <b/>
        <vertAlign val="subscript"/>
        <sz val="12"/>
        <rFont val="Times New Roman"/>
        <family val="1"/>
      </rPr>
      <t>two tail</t>
    </r>
    <r>
      <rPr>
        <b/>
        <sz val="12"/>
        <rFont val="Times New Roman"/>
        <family val="1"/>
      </rPr>
      <t xml:space="preserve"> = </t>
    </r>
  </si>
  <si>
    <r>
      <t>p</t>
    </r>
    <r>
      <rPr>
        <b/>
        <vertAlign val="subscript"/>
        <sz val="12"/>
        <rFont val="Times New Roman"/>
        <family val="1"/>
      </rPr>
      <t>one tail</t>
    </r>
    <r>
      <rPr>
        <b/>
        <sz val="12"/>
        <rFont val="Times New Roman"/>
        <family val="1"/>
      </rPr>
      <t xml:space="preserve"> = </t>
    </r>
  </si>
  <si>
    <r>
      <t>t</t>
    </r>
    <r>
      <rPr>
        <b/>
        <vertAlign val="subscript"/>
        <sz val="12"/>
        <rFont val="Times New Roman"/>
        <family val="1"/>
      </rPr>
      <t xml:space="preserve">one tail =   </t>
    </r>
    <r>
      <rPr>
        <b/>
        <sz val="12"/>
        <rFont val="Times New Roman"/>
        <family val="1"/>
      </rPr>
      <t xml:space="preserve">  </t>
    </r>
  </si>
  <si>
    <r>
      <t>t</t>
    </r>
    <r>
      <rPr>
        <b/>
        <vertAlign val="subscript"/>
        <sz val="12"/>
        <rFont val="Times New Roman"/>
        <family val="1"/>
      </rPr>
      <t xml:space="preserve">two tail =   </t>
    </r>
    <r>
      <rPr>
        <b/>
        <sz val="12"/>
        <rFont val="Times New Roman"/>
        <family val="1"/>
      </rPr>
      <t xml:space="preserve"> </t>
    </r>
  </si>
  <si>
    <r>
      <t>To calculate</t>
    </r>
    <r>
      <rPr>
        <b/>
        <i/>
        <sz val="12"/>
        <rFont val="Times New Roman"/>
        <family val="1"/>
      </rPr>
      <t xml:space="preserve"> p </t>
    </r>
    <r>
      <rPr>
        <b/>
        <sz val="12"/>
        <rFont val="Times New Roman"/>
        <family val="1"/>
      </rPr>
      <t>when you know</t>
    </r>
    <r>
      <rPr>
        <b/>
        <i/>
        <sz val="12"/>
        <rFont val="Times New Roman"/>
        <family val="1"/>
      </rPr>
      <t xml:space="preserve"> t</t>
    </r>
  </si>
  <si>
    <r>
      <t>To calculate</t>
    </r>
    <r>
      <rPr>
        <b/>
        <i/>
        <sz val="12"/>
        <rFont val="Times New Roman"/>
        <family val="1"/>
      </rPr>
      <t xml:space="preserve"> t </t>
    </r>
    <r>
      <rPr>
        <b/>
        <sz val="12"/>
        <rFont val="Times New Roman"/>
        <family val="1"/>
      </rPr>
      <t>when you know</t>
    </r>
    <r>
      <rPr>
        <b/>
        <i/>
        <sz val="12"/>
        <rFont val="Times New Roman"/>
        <family val="1"/>
      </rPr>
      <t xml:space="preserve"> p</t>
    </r>
  </si>
  <si>
    <t>Z (normal) distribution</t>
  </si>
  <si>
    <t xml:space="preserve">  Input:</t>
  </si>
  <si>
    <r>
      <t>a</t>
    </r>
    <r>
      <rPr>
        <b/>
        <sz val="12"/>
        <rFont val="Times New Roman"/>
        <family val="1"/>
      </rPr>
      <t xml:space="preserve"> =   </t>
    </r>
  </si>
  <si>
    <r>
      <t>df</t>
    </r>
    <r>
      <rPr>
        <b/>
        <vertAlign val="subscript"/>
        <sz val="12"/>
        <rFont val="Times New Roman"/>
        <family val="1"/>
      </rPr>
      <t>num</t>
    </r>
    <r>
      <rPr>
        <b/>
        <sz val="12"/>
        <rFont val="Times New Roman"/>
        <family val="1"/>
      </rPr>
      <t xml:space="preserve"> =  </t>
    </r>
  </si>
  <si>
    <r>
      <t>df</t>
    </r>
    <r>
      <rPr>
        <b/>
        <vertAlign val="subscript"/>
        <sz val="12"/>
        <rFont val="Times New Roman"/>
        <family val="1"/>
      </rPr>
      <t>denom</t>
    </r>
    <r>
      <rPr>
        <b/>
        <sz val="12"/>
        <rFont val="Times New Roman"/>
        <family val="1"/>
      </rPr>
      <t xml:space="preserve"> =  </t>
    </r>
  </si>
  <si>
    <t xml:space="preserve">  Input sample corr (r):</t>
  </si>
  <si>
    <t xml:space="preserve">  Input hypothesized corr (rho):</t>
  </si>
  <si>
    <t xml:space="preserve">  Input sample size (n):</t>
  </si>
  <si>
    <t xml:space="preserve">  Example:</t>
  </si>
  <si>
    <t xml:space="preserve">  1.  Ho: Population correlation equals 'rho'</t>
  </si>
  <si>
    <t xml:space="preserve">  2.  Ho: Two population correlations are equal</t>
  </si>
  <si>
    <t xml:space="preserve">  Input corr from Sample 1 (r1):</t>
  </si>
  <si>
    <t xml:space="preserve">  Input size of Sample 1 (n1):</t>
  </si>
  <si>
    <t xml:space="preserve">  Input corr from Sample 2 (r2):</t>
  </si>
  <si>
    <t xml:space="preserve">  Input size of Sample 2 (n2):</t>
  </si>
  <si>
    <t xml:space="preserve">  Input sample corr r12:</t>
  </si>
  <si>
    <t xml:space="preserve">  Input sample corr r13:</t>
  </si>
  <si>
    <t xml:space="preserve">  Input sample corr r23:</t>
  </si>
  <si>
    <t xml:space="preserve">  Input sample corr r14:</t>
  </si>
  <si>
    <t xml:space="preserve">  Input sample corr r24:</t>
  </si>
  <si>
    <t xml:space="preserve">  Input sample corr r34:</t>
  </si>
  <si>
    <r>
      <t>c</t>
    </r>
    <r>
      <rPr>
        <b/>
        <vertAlign val="superscript"/>
        <sz val="12"/>
        <color indexed="8"/>
        <rFont val="Symbol"/>
        <family val="1"/>
      </rPr>
      <t>2</t>
    </r>
    <r>
      <rPr>
        <b/>
        <sz val="12"/>
        <color indexed="8"/>
        <rFont val="Times New Roman"/>
        <family val="1"/>
      </rPr>
      <t xml:space="preserve"> = </t>
    </r>
  </si>
  <si>
    <r>
      <t xml:space="preserve">upper tail </t>
    </r>
    <r>
      <rPr>
        <b/>
        <i/>
        <sz val="12"/>
        <color indexed="8"/>
        <rFont val="Times New Roman"/>
        <family val="1"/>
      </rPr>
      <t>p</t>
    </r>
    <r>
      <rPr>
        <b/>
        <sz val="12"/>
        <color indexed="8"/>
        <rFont val="Times New Roman"/>
        <family val="1"/>
      </rPr>
      <t xml:space="preserve"> </t>
    </r>
  </si>
  <si>
    <t xml:space="preserve">  </t>
  </si>
  <si>
    <t>Lower limit P =</t>
  </si>
  <si>
    <t xml:space="preserve">Upper limit P = </t>
  </si>
  <si>
    <t>(e.g., 95% for two-tailed 95% CI )</t>
  </si>
  <si>
    <t>Number of predictors</t>
  </si>
  <si>
    <t>Power</t>
  </si>
  <si>
    <t>Alpha</t>
  </si>
  <si>
    <t>Table of L values</t>
  </si>
  <si>
    <t>Population R squared added for last predictor</t>
  </si>
  <si>
    <t>Population multiple correlation squared</t>
  </si>
  <si>
    <t>L value from table for desired power and alpha error rate</t>
  </si>
  <si>
    <t>individual multiple regression coefficients</t>
  </si>
  <si>
    <t>Group 1</t>
  </si>
  <si>
    <t>Group 2</t>
  </si>
  <si>
    <t>Mean</t>
  </si>
  <si>
    <t>SD</t>
  </si>
  <si>
    <t>Pool statistics from two groups</t>
  </si>
  <si>
    <t>Variance</t>
  </si>
  <si>
    <t>Within</t>
  </si>
  <si>
    <t>One group</t>
  </si>
  <si>
    <r>
      <rPr>
        <i/>
        <sz val="12"/>
        <rFont val="Times New Roman"/>
        <family val="1"/>
      </rPr>
      <t xml:space="preserve">t </t>
    </r>
    <r>
      <rPr>
        <sz val="12"/>
        <rFont val="Times New Roman"/>
        <family val="1"/>
      </rPr>
      <t>value:</t>
    </r>
  </si>
  <si>
    <r>
      <rPr>
        <i/>
        <sz val="12"/>
        <rFont val="Times New Roman"/>
        <family val="1"/>
      </rPr>
      <t>t</t>
    </r>
    <r>
      <rPr>
        <sz val="12"/>
        <rFont val="Times New Roman"/>
        <family val="1"/>
      </rPr>
      <t xml:space="preserve"> value:</t>
    </r>
  </si>
  <si>
    <r>
      <t xml:space="preserve">2-tailed </t>
    </r>
    <r>
      <rPr>
        <i/>
        <sz val="12"/>
        <rFont val="Times New Roman"/>
        <family val="1"/>
      </rPr>
      <t>p</t>
    </r>
    <r>
      <rPr>
        <sz val="12"/>
        <rFont val="Times New Roman"/>
        <family val="1"/>
      </rPr>
      <t>:</t>
    </r>
  </si>
  <si>
    <r>
      <t xml:space="preserve">1-tailed </t>
    </r>
    <r>
      <rPr>
        <i/>
        <sz val="12"/>
        <rFont val="Times New Roman"/>
        <family val="1"/>
      </rPr>
      <t>p</t>
    </r>
    <r>
      <rPr>
        <sz val="12"/>
        <rFont val="Times New Roman"/>
        <family val="1"/>
      </rPr>
      <t>:</t>
    </r>
  </si>
  <si>
    <r>
      <t xml:space="preserve">2-tailed </t>
    </r>
    <r>
      <rPr>
        <i/>
        <sz val="12"/>
        <rFont val="Times New Roman"/>
        <family val="1"/>
      </rPr>
      <t>p</t>
    </r>
    <r>
      <rPr>
        <sz val="12"/>
        <rFont val="Times New Roman"/>
        <family val="1"/>
      </rPr>
      <t>:</t>
    </r>
  </si>
  <si>
    <t>AAAAAEhO5dw=</t>
  </si>
  <si>
    <t>If you find any errors, or if you have suggestions for additional worksheets,</t>
  </si>
  <si>
    <r>
      <rPr>
        <sz val="12"/>
        <rFont val="Times New Roman"/>
        <family val="1"/>
      </rPr>
      <t xml:space="preserve">or if you find this workbook useful, please email me at </t>
    </r>
    <r>
      <rPr>
        <b/>
        <sz val="12"/>
        <rFont val="Times New Roman"/>
        <family val="1"/>
      </rPr>
      <t xml:space="preserve"> dale.berger@cgu.edu</t>
    </r>
  </si>
  <si>
    <r>
      <t>c</t>
    </r>
    <r>
      <rPr>
        <b/>
        <vertAlign val="superscript"/>
        <sz val="28"/>
        <color indexed="9"/>
        <rFont val="Times New Roman"/>
        <family val="1"/>
      </rPr>
      <t>2</t>
    </r>
    <r>
      <rPr>
        <b/>
        <sz val="28"/>
        <color indexed="9"/>
        <rFont val="Times New Roman"/>
        <family val="1"/>
      </rPr>
      <t xml:space="preserve"> distribution</t>
    </r>
  </si>
  <si>
    <r>
      <t xml:space="preserve">    t</t>
    </r>
    <r>
      <rPr>
        <b/>
        <sz val="28"/>
        <color indexed="9"/>
        <rFont val="Times New Roman"/>
        <family val="1"/>
      </rPr>
      <t xml:space="preserve"> distribution</t>
    </r>
  </si>
  <si>
    <t xml:space="preserve">   Binomial distribution</t>
  </si>
  <si>
    <t xml:space="preserve"> Example:</t>
  </si>
  <si>
    <t xml:space="preserve"> Answer:</t>
  </si>
  <si>
    <t xml:space="preserve"> Hint:</t>
  </si>
  <si>
    <t xml:space="preserve">  1.  Ho: Population correlation rho(1,2) equals rho(1,3) </t>
  </si>
  <si>
    <t xml:space="preserve"> </t>
  </si>
  <si>
    <r>
      <t xml:space="preserve">  </t>
    </r>
    <r>
      <rPr>
        <b/>
        <sz val="16"/>
        <rFont val="Times New Roman"/>
        <family val="1"/>
      </rPr>
      <t xml:space="preserve">2.  Ho: Population correlation rho(1,4) equals rho(2,3) </t>
    </r>
  </si>
  <si>
    <t>(Sample correlations taken from the same sample)</t>
  </si>
  <si>
    <t xml:space="preserve">   Tests for Dependent Correlations</t>
  </si>
  <si>
    <t>Convert between r and Fisher's r′ (i.e., Zr)</t>
  </si>
  <si>
    <r>
      <t>Given r, find r</t>
    </r>
    <r>
      <rPr>
        <sz val="14"/>
        <rFont val="Times New Roman"/>
        <family val="1"/>
      </rPr>
      <t>′</t>
    </r>
  </si>
  <si>
    <t>Given r′, find r</t>
  </si>
  <si>
    <t>r′</t>
  </si>
  <si>
    <t>Confidence Interval for Population Proportion</t>
  </si>
  <si>
    <t>Estimate number of cases needed to test</t>
  </si>
  <si>
    <t>(e.g., if x=2 and n=50, p = 2/50 = .04)</t>
  </si>
  <si>
    <t xml:space="preserve">Input: </t>
  </si>
  <si>
    <r>
      <t xml:space="preserve">Sample </t>
    </r>
    <r>
      <rPr>
        <b/>
        <i/>
        <sz val="12"/>
        <rFont val="Times New Roman"/>
        <family val="1"/>
      </rPr>
      <t>p</t>
    </r>
    <r>
      <rPr>
        <b/>
        <sz val="12"/>
        <rFont val="Times New Roman"/>
        <family val="1"/>
      </rPr>
      <t xml:space="preserve">      </t>
    </r>
  </si>
  <si>
    <t xml:space="preserve">2-tailed CI confidence  </t>
  </si>
  <si>
    <t xml:space="preserve">Sample n  </t>
  </si>
  <si>
    <t>Estimated Median</t>
  </si>
  <si>
    <t>Definition</t>
  </si>
  <si>
    <t>Grouped data</t>
  </si>
  <si>
    <r>
      <t xml:space="preserve">Enter values for </t>
    </r>
    <r>
      <rPr>
        <sz val="16"/>
        <rFont val="Symbol"/>
        <family val="1"/>
      </rPr>
      <t>s</t>
    </r>
    <r>
      <rPr>
        <vertAlign val="subscript"/>
        <sz val="16"/>
        <rFont val="Times New Roman"/>
        <family val="1"/>
      </rPr>
      <t>x</t>
    </r>
    <r>
      <rPr>
        <sz val="16"/>
        <rFont val="Times New Roman"/>
        <family val="1"/>
      </rPr>
      <t xml:space="preserve">, </t>
    </r>
    <r>
      <rPr>
        <sz val="16"/>
        <rFont val="Symbol"/>
        <family val="1"/>
      </rPr>
      <t>s</t>
    </r>
    <r>
      <rPr>
        <vertAlign val="subscript"/>
        <sz val="16"/>
        <rFont val="Times New Roman"/>
        <family val="1"/>
      </rPr>
      <t>x bar</t>
    </r>
    <r>
      <rPr>
        <sz val="16"/>
        <rFont val="Times New Roman"/>
        <family val="1"/>
      </rPr>
      <t>, and N (population size).</t>
    </r>
  </si>
  <si>
    <t>The program computes the required sample size, n.</t>
  </si>
  <si>
    <r>
      <t>s</t>
    </r>
    <r>
      <rPr>
        <b/>
        <vertAlign val="subscript"/>
        <sz val="24"/>
        <rFont val="Times New Roman"/>
        <family val="1"/>
      </rPr>
      <t>x</t>
    </r>
  </si>
  <si>
    <r>
      <t>s</t>
    </r>
    <r>
      <rPr>
        <b/>
        <vertAlign val="subscript"/>
        <sz val="24"/>
        <rFont val="Times New Roman"/>
        <family val="1"/>
      </rPr>
      <t>x bar</t>
    </r>
  </si>
  <si>
    <t>Source</t>
  </si>
  <si>
    <t>N needed for test of individual regression weight</t>
  </si>
  <si>
    <t xml:space="preserve">N needed for test of overall R squared </t>
  </si>
  <si>
    <t>Correlation of every X with Y (rho xy)</t>
  </si>
  <si>
    <t>Correlation of every pair of X variables (rho xx)</t>
  </si>
  <si>
    <t>Extension</t>
  </si>
  <si>
    <t xml:space="preserve">z =     </t>
  </si>
  <si>
    <r>
      <t>To calculate</t>
    </r>
    <r>
      <rPr>
        <b/>
        <i/>
        <sz val="14"/>
        <rFont val="Times New Roman"/>
        <family val="1"/>
      </rPr>
      <t xml:space="preserve"> p </t>
    </r>
    <r>
      <rPr>
        <b/>
        <sz val="14"/>
        <rFont val="Times New Roman"/>
        <family val="1"/>
      </rPr>
      <t>when you know</t>
    </r>
    <r>
      <rPr>
        <b/>
        <i/>
        <sz val="14"/>
        <rFont val="Times New Roman"/>
        <family val="1"/>
      </rPr>
      <t xml:space="preserve"> </t>
    </r>
    <r>
      <rPr>
        <b/>
        <sz val="14"/>
        <rFont val="Times New Roman"/>
        <family val="1"/>
      </rPr>
      <t>z</t>
    </r>
  </si>
  <si>
    <r>
      <t>p</t>
    </r>
    <r>
      <rPr>
        <b/>
        <vertAlign val="subscript"/>
        <sz val="14"/>
        <rFont val="Times New Roman"/>
        <family val="1"/>
      </rPr>
      <t>two tail</t>
    </r>
    <r>
      <rPr>
        <b/>
        <sz val="14"/>
        <rFont val="Times New Roman"/>
        <family val="1"/>
      </rPr>
      <t xml:space="preserve"> =  </t>
    </r>
  </si>
  <si>
    <r>
      <t>p</t>
    </r>
    <r>
      <rPr>
        <b/>
        <vertAlign val="subscript"/>
        <sz val="14"/>
        <rFont val="Times New Roman"/>
        <family val="1"/>
      </rPr>
      <t>one tail</t>
    </r>
    <r>
      <rPr>
        <b/>
        <sz val="14"/>
        <rFont val="Times New Roman"/>
        <family val="1"/>
      </rPr>
      <t xml:space="preserve"> = </t>
    </r>
  </si>
  <si>
    <r>
      <t>To calculate</t>
    </r>
    <r>
      <rPr>
        <b/>
        <i/>
        <sz val="14"/>
        <rFont val="Times New Roman"/>
        <family val="1"/>
      </rPr>
      <t xml:space="preserve"> </t>
    </r>
    <r>
      <rPr>
        <b/>
        <sz val="14"/>
        <rFont val="Times New Roman"/>
        <family val="1"/>
      </rPr>
      <t>z</t>
    </r>
    <r>
      <rPr>
        <b/>
        <i/>
        <sz val="14"/>
        <rFont val="Times New Roman"/>
        <family val="1"/>
      </rPr>
      <t xml:space="preserve"> </t>
    </r>
    <r>
      <rPr>
        <b/>
        <sz val="14"/>
        <rFont val="Times New Roman"/>
        <family val="1"/>
      </rPr>
      <t>when you know</t>
    </r>
    <r>
      <rPr>
        <b/>
        <i/>
        <sz val="14"/>
        <rFont val="Times New Roman"/>
        <family val="1"/>
      </rPr>
      <t xml:space="preserve"> p</t>
    </r>
  </si>
  <si>
    <r>
      <t xml:space="preserve">z </t>
    </r>
    <r>
      <rPr>
        <b/>
        <vertAlign val="subscript"/>
        <sz val="14"/>
        <rFont val="Times New Roman"/>
        <family val="1"/>
      </rPr>
      <t>two tail</t>
    </r>
    <r>
      <rPr>
        <b/>
        <sz val="14"/>
        <rFont val="Times New Roman"/>
        <family val="1"/>
      </rPr>
      <t xml:space="preserve"> = </t>
    </r>
  </si>
  <si>
    <r>
      <t xml:space="preserve">z </t>
    </r>
    <r>
      <rPr>
        <b/>
        <vertAlign val="subscript"/>
        <sz val="14"/>
        <rFont val="Times New Roman"/>
        <family val="1"/>
      </rPr>
      <t>one tail</t>
    </r>
    <r>
      <rPr>
        <b/>
        <sz val="14"/>
        <rFont val="Times New Roman"/>
        <family val="1"/>
      </rPr>
      <t xml:space="preserve"> = </t>
    </r>
  </si>
  <si>
    <r>
      <t>p</t>
    </r>
    <r>
      <rPr>
        <b/>
        <sz val="12"/>
        <rFont val="Times New Roman"/>
        <family val="1"/>
      </rPr>
      <t xml:space="preserve"> value = </t>
    </r>
  </si>
  <si>
    <t>About Fisher's 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</si>
</sst>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Red]\(#,##0.00000\)"/>
    <numFmt numFmtId="165" formatCode="#,##0.00000"/>
    <numFmt numFmtId="166" formatCode="0.0000"/>
    <numFmt numFmtId="167" formatCode="0.0"/>
    <numFmt numFmtId="168" formatCode="0.000"/>
    <numFmt numFmtId="169" formatCode="0.00000"/>
    <numFmt numFmtId="170" formatCode=";;;"/>
    <numFmt numFmtId="171" formatCode="0.000000"/>
  </numFmts>
  <fonts count="99">
    <font>
      <sz val="12"/>
      <name val="Times New Roman"/>
      <family val="0"/>
    </font>
    <font>
      <sz val="11"/>
      <color indexed="8"/>
      <name val="Calibri"/>
      <family val="2"/>
    </font>
    <font>
      <b/>
      <sz val="12"/>
      <name val="Times New Roman"/>
      <family val="1"/>
    </font>
    <font>
      <b/>
      <sz val="12"/>
      <name val="Symbol"/>
      <family val="1"/>
    </font>
    <font>
      <b/>
      <i/>
      <sz val="12"/>
      <name val="Symbol"/>
      <family val="1"/>
    </font>
    <font>
      <b/>
      <vertAlign val="superscript"/>
      <sz val="12"/>
      <name val="Symbol"/>
      <family val="1"/>
    </font>
    <font>
      <b/>
      <i/>
      <sz val="12"/>
      <name val="Times New Roman"/>
      <family val="1"/>
    </font>
    <font>
      <b/>
      <vertAlign val="superscript"/>
      <sz val="12"/>
      <name val="Times New Roman"/>
      <family val="1"/>
    </font>
    <font>
      <b/>
      <vertAlign val="subscript"/>
      <sz val="12"/>
      <name val="Times New Roman"/>
      <family val="1"/>
    </font>
    <font>
      <sz val="14"/>
      <name val="Times New Roman"/>
      <family val="1"/>
    </font>
    <font>
      <i/>
      <sz val="14"/>
      <name val="Times New Roman"/>
      <family val="1"/>
    </font>
    <font>
      <b/>
      <i/>
      <sz val="14"/>
      <name val="Times New Roman"/>
      <family val="1"/>
    </font>
    <font>
      <sz val="16"/>
      <name val="Arial"/>
      <family val="2"/>
    </font>
    <font>
      <sz val="10"/>
      <name val="Times New Roman"/>
      <family val="1"/>
    </font>
    <font>
      <b/>
      <vertAlign val="subscript"/>
      <sz val="14"/>
      <name val="Times New Roman"/>
      <family val="1"/>
    </font>
    <font>
      <b/>
      <sz val="14"/>
      <name val="Times New Roman"/>
      <family val="1"/>
    </font>
    <font>
      <sz val="8"/>
      <name val="Tahoma"/>
      <family val="2"/>
    </font>
    <font>
      <b/>
      <sz val="8"/>
      <name val="Tahoma"/>
      <family val="2"/>
    </font>
    <font>
      <sz val="12"/>
      <color indexed="9"/>
      <name val="Times New Roman"/>
      <family val="1"/>
    </font>
    <font>
      <sz val="16"/>
      <name val="Times New Roman"/>
      <family val="1"/>
    </font>
    <font>
      <sz val="26"/>
      <color indexed="9"/>
      <name val="Times New Roman"/>
      <family val="1"/>
    </font>
    <font>
      <b/>
      <sz val="20"/>
      <color indexed="9"/>
      <name val="Times New Roman"/>
      <family val="1"/>
    </font>
    <font>
      <sz val="12"/>
      <color indexed="8"/>
      <name val="Times New Roman"/>
      <family val="1"/>
    </font>
    <font>
      <b/>
      <sz val="12"/>
      <color indexed="8"/>
      <name val="Times New Roman"/>
      <family val="1"/>
    </font>
    <font>
      <b/>
      <i/>
      <sz val="12"/>
      <color indexed="8"/>
      <name val="Symbol"/>
      <family val="1"/>
    </font>
    <font>
      <b/>
      <vertAlign val="superscript"/>
      <sz val="12"/>
      <color indexed="8"/>
      <name val="Symbol"/>
      <family val="1"/>
    </font>
    <font>
      <b/>
      <i/>
      <sz val="12"/>
      <color indexed="8"/>
      <name val="Times New Roman"/>
      <family val="1"/>
    </font>
    <font>
      <sz val="18"/>
      <color indexed="9"/>
      <name val="Arial"/>
      <family val="2"/>
    </font>
    <font>
      <sz val="20"/>
      <color indexed="9"/>
      <name val="Arial"/>
      <family val="2"/>
    </font>
    <font>
      <sz val="22"/>
      <color indexed="9"/>
      <name val="Times New Roman"/>
      <family val="1"/>
    </font>
    <font>
      <sz val="20"/>
      <name val="Times New Roman"/>
      <family val="1"/>
    </font>
    <font>
      <sz val="20"/>
      <color indexed="9"/>
      <name val="Times New Roman"/>
      <family val="1"/>
    </font>
    <font>
      <sz val="8"/>
      <name val="Times New Roman"/>
      <family val="1"/>
    </font>
    <font>
      <b/>
      <sz val="12"/>
      <name val="Tahoma"/>
      <family val="2"/>
    </font>
    <font>
      <sz val="12"/>
      <color indexed="48"/>
      <name val="Times New Roman"/>
      <family val="1"/>
    </font>
    <font>
      <sz val="16"/>
      <color indexed="9"/>
      <name val="Times New Roman"/>
      <family val="1"/>
    </font>
    <font>
      <i/>
      <sz val="12"/>
      <name val="Times New Roman"/>
      <family val="1"/>
    </font>
    <font>
      <b/>
      <sz val="28"/>
      <color indexed="9"/>
      <name val="Times New Roman"/>
      <family val="1"/>
    </font>
    <font>
      <b/>
      <i/>
      <sz val="28"/>
      <color indexed="9"/>
      <name val="Times New Roman"/>
      <family val="1"/>
    </font>
    <font>
      <b/>
      <i/>
      <sz val="28"/>
      <color indexed="9"/>
      <name val="Symbol"/>
      <family val="1"/>
    </font>
    <font>
      <b/>
      <vertAlign val="superscript"/>
      <sz val="28"/>
      <color indexed="9"/>
      <name val="Times New Roman"/>
      <family val="1"/>
    </font>
    <font>
      <sz val="10"/>
      <name val="Tahoma"/>
      <family val="2"/>
    </font>
    <font>
      <sz val="11"/>
      <name val="Tahoma"/>
      <family val="2"/>
    </font>
    <font>
      <sz val="12"/>
      <name val="Tahoma"/>
      <family val="2"/>
    </font>
    <font>
      <i/>
      <sz val="11"/>
      <name val="Tahoma"/>
      <family val="2"/>
    </font>
    <font>
      <b/>
      <sz val="16"/>
      <name val="Times New Roman"/>
      <family val="1"/>
    </font>
    <font>
      <sz val="14"/>
      <color indexed="9"/>
      <name val="Times New Roman"/>
      <family val="1"/>
    </font>
    <font>
      <b/>
      <sz val="11"/>
      <name val="Tahoma"/>
      <family val="2"/>
    </font>
    <font>
      <sz val="24"/>
      <color indexed="9"/>
      <name val="Times New Roman"/>
      <family val="1"/>
    </font>
    <font>
      <sz val="28"/>
      <color indexed="9"/>
      <name val="Times New Roman"/>
      <family val="1"/>
    </font>
    <font>
      <u val="single"/>
      <sz val="11"/>
      <name val="Tahoma"/>
      <family val="2"/>
    </font>
    <font>
      <sz val="16"/>
      <name val="Symbol"/>
      <family val="1"/>
    </font>
    <font>
      <vertAlign val="subscript"/>
      <sz val="16"/>
      <name val="Times New Roman"/>
      <family val="1"/>
    </font>
    <font>
      <sz val="26"/>
      <color indexed="9"/>
      <name val="Arial"/>
      <family val="2"/>
    </font>
    <font>
      <b/>
      <sz val="24"/>
      <name val="Symbol"/>
      <family val="1"/>
    </font>
    <font>
      <b/>
      <vertAlign val="subscript"/>
      <sz val="24"/>
      <name val="Times New Roman"/>
      <family val="1"/>
    </font>
    <font>
      <b/>
      <sz val="24"/>
      <name val="Times New Roman"/>
      <family val="1"/>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9"/>
      <name val="Times New Roman"/>
      <family val="1"/>
    </font>
    <font>
      <sz val="10"/>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0"/>
      <name val="Times New Roman"/>
      <family val="1"/>
    </font>
    <font>
      <sz val="18"/>
      <color theme="0"/>
      <name val="Times New Roman"/>
      <family val="1"/>
    </font>
    <font>
      <sz val="22"/>
      <color theme="0"/>
      <name val="Times New Roman"/>
      <family val="1"/>
    </font>
    <font>
      <sz val="12"/>
      <color theme="0"/>
      <name val="Times New Roman"/>
      <family val="1"/>
    </font>
    <font>
      <sz val="10"/>
      <color theme="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style="medium"/>
      <top style="medium"/>
      <bottom style="thin"/>
    </border>
    <border>
      <left style="medium"/>
      <right style="medium"/>
      <top style="thin"/>
      <bottom style="thin"/>
    </border>
    <border>
      <left/>
      <right style="medium"/>
      <top/>
      <bottom/>
    </border>
    <border>
      <left style="medium"/>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thin"/>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97">
    <xf numFmtId="0" fontId="0" fillId="0" borderId="0" xfId="0" applyAlignment="1">
      <alignment/>
    </xf>
    <xf numFmtId="164" fontId="0" fillId="33" borderId="10" xfId="0" applyNumberFormat="1" applyFill="1" applyBorder="1" applyAlignment="1" applyProtection="1">
      <alignment/>
      <protection/>
    </xf>
    <xf numFmtId="1" fontId="0" fillId="34" borderId="11" xfId="0" applyNumberFormat="1" applyFill="1" applyBorder="1" applyAlignment="1" applyProtection="1">
      <alignment/>
      <protection locked="0"/>
    </xf>
    <xf numFmtId="168" fontId="0" fillId="34" borderId="12" xfId="0" applyNumberFormat="1" applyFill="1" applyBorder="1" applyAlignment="1" applyProtection="1">
      <alignment/>
      <protection locked="0"/>
    </xf>
    <xf numFmtId="168" fontId="0" fillId="34" borderId="13" xfId="0" applyNumberFormat="1" applyFill="1" applyBorder="1" applyAlignment="1" applyProtection="1">
      <alignment/>
      <protection locked="0"/>
    </xf>
    <xf numFmtId="1" fontId="0" fillId="34" borderId="13" xfId="0" applyNumberFormat="1" applyFill="1" applyBorder="1" applyAlignment="1" applyProtection="1">
      <alignment/>
      <protection locked="0"/>
    </xf>
    <xf numFmtId="0" fontId="0" fillId="34" borderId="10" xfId="0" applyFill="1" applyBorder="1" applyAlignment="1" applyProtection="1">
      <alignment/>
      <protection locked="0"/>
    </xf>
    <xf numFmtId="0" fontId="0" fillId="35" borderId="0" xfId="0" applyFill="1" applyBorder="1" applyAlignment="1" applyProtection="1">
      <alignment/>
      <protection/>
    </xf>
    <xf numFmtId="0" fontId="0" fillId="35" borderId="14" xfId="0" applyFill="1" applyBorder="1" applyAlignment="1">
      <alignment/>
    </xf>
    <xf numFmtId="0" fontId="0" fillId="35" borderId="0" xfId="0" applyFill="1" applyAlignment="1">
      <alignment/>
    </xf>
    <xf numFmtId="0" fontId="0" fillId="35" borderId="0" xfId="0" applyFill="1" applyBorder="1" applyAlignment="1">
      <alignment/>
    </xf>
    <xf numFmtId="0" fontId="0" fillId="34" borderId="10" xfId="0" applyFill="1" applyBorder="1" applyAlignment="1" applyProtection="1">
      <alignment horizontal="center"/>
      <protection locked="0"/>
    </xf>
    <xf numFmtId="164" fontId="0" fillId="34" borderId="12" xfId="0" applyNumberFormat="1" applyFill="1" applyBorder="1" applyAlignment="1" applyProtection="1">
      <alignment/>
      <protection locked="0"/>
    </xf>
    <xf numFmtId="38" fontId="0" fillId="34" borderId="15" xfId="0" applyNumberFormat="1" applyFill="1" applyBorder="1" applyAlignment="1" applyProtection="1">
      <alignment/>
      <protection locked="0"/>
    </xf>
    <xf numFmtId="38" fontId="0" fillId="34" borderId="13" xfId="0" applyNumberFormat="1" applyFill="1" applyBorder="1" applyAlignment="1" applyProtection="1">
      <alignment/>
      <protection locked="0"/>
    </xf>
    <xf numFmtId="164" fontId="0" fillId="33" borderId="12" xfId="0" applyNumberFormat="1" applyFill="1" applyBorder="1" applyAlignment="1" applyProtection="1">
      <alignment/>
      <protection/>
    </xf>
    <xf numFmtId="0" fontId="0" fillId="33" borderId="10"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4" borderId="12" xfId="0" applyFont="1" applyFill="1" applyBorder="1" applyAlignment="1" applyProtection="1">
      <alignment/>
      <protection locked="0"/>
    </xf>
    <xf numFmtId="0" fontId="0" fillId="34" borderId="13" xfId="0" applyFont="1" applyFill="1" applyBorder="1" applyAlignment="1" applyProtection="1">
      <alignment/>
      <protection locked="0"/>
    </xf>
    <xf numFmtId="0" fontId="9" fillId="35" borderId="0" xfId="0" applyFont="1" applyFill="1" applyBorder="1" applyAlignment="1">
      <alignment/>
    </xf>
    <xf numFmtId="0" fontId="9" fillId="35" borderId="0" xfId="0" applyFont="1" applyFill="1" applyBorder="1" applyAlignment="1">
      <alignment horizontal="center"/>
    </xf>
    <xf numFmtId="0" fontId="2" fillId="35" borderId="0" xfId="0" applyFont="1" applyFill="1" applyBorder="1" applyAlignment="1">
      <alignment/>
    </xf>
    <xf numFmtId="0" fontId="0" fillId="36" borderId="0" xfId="0" applyFill="1" applyAlignment="1">
      <alignment/>
    </xf>
    <xf numFmtId="0" fontId="0" fillId="36" borderId="0" xfId="0" applyFill="1" applyBorder="1" applyAlignment="1">
      <alignment/>
    </xf>
    <xf numFmtId="0" fontId="15" fillId="35" borderId="16" xfId="0" applyFont="1" applyFill="1" applyBorder="1" applyAlignment="1">
      <alignment/>
    </xf>
    <xf numFmtId="0" fontId="15" fillId="35" borderId="17" xfId="0" applyFont="1" applyFill="1" applyBorder="1" applyAlignment="1">
      <alignment/>
    </xf>
    <xf numFmtId="0" fontId="15" fillId="35" borderId="18" xfId="0" applyFont="1" applyFill="1" applyBorder="1" applyAlignment="1">
      <alignment/>
    </xf>
    <xf numFmtId="0" fontId="9" fillId="35" borderId="0" xfId="0" applyFont="1" applyFill="1" applyBorder="1" applyAlignment="1">
      <alignment/>
    </xf>
    <xf numFmtId="167" fontId="0" fillId="35" borderId="0" xfId="0" applyNumberFormat="1" applyFill="1" applyBorder="1" applyAlignment="1">
      <alignment/>
    </xf>
    <xf numFmtId="167" fontId="0" fillId="35" borderId="21" xfId="0" applyNumberFormat="1" applyFill="1" applyBorder="1" applyAlignment="1">
      <alignment/>
    </xf>
    <xf numFmtId="165" fontId="0" fillId="34" borderId="12" xfId="0" applyNumberFormat="1" applyFill="1" applyBorder="1" applyAlignment="1" applyProtection="1">
      <alignment/>
      <protection locked="0"/>
    </xf>
    <xf numFmtId="165" fontId="0" fillId="33" borderId="11" xfId="0" applyNumberFormat="1" applyFill="1" applyBorder="1" applyAlignment="1" applyProtection="1">
      <alignment/>
      <protection/>
    </xf>
    <xf numFmtId="164" fontId="0" fillId="35" borderId="21" xfId="0" applyNumberFormat="1" applyFill="1" applyBorder="1" applyAlignment="1" applyProtection="1">
      <alignment/>
      <protection/>
    </xf>
    <xf numFmtId="164" fontId="0" fillId="35" borderId="17" xfId="0" applyNumberFormat="1" applyFill="1" applyBorder="1" applyAlignment="1" applyProtection="1">
      <alignment/>
      <protection/>
    </xf>
    <xf numFmtId="0" fontId="11" fillId="36" borderId="0" xfId="0" applyFont="1" applyFill="1" applyBorder="1" applyAlignment="1" applyProtection="1">
      <alignment horizontal="centerContinuous"/>
      <protection/>
    </xf>
    <xf numFmtId="0" fontId="0" fillId="36" borderId="0" xfId="0" applyFill="1" applyAlignment="1" applyProtection="1">
      <alignment/>
      <protection/>
    </xf>
    <xf numFmtId="0" fontId="0" fillId="36" borderId="0" xfId="0" applyFill="1" applyBorder="1" applyAlignment="1" applyProtection="1">
      <alignment/>
      <protection/>
    </xf>
    <xf numFmtId="0" fontId="6" fillId="36" borderId="0" xfId="0" applyFont="1" applyFill="1" applyBorder="1" applyAlignment="1" applyProtection="1">
      <alignment horizontal="right"/>
      <protection/>
    </xf>
    <xf numFmtId="0" fontId="2" fillId="36" borderId="0" xfId="0" applyFont="1" applyFill="1" applyBorder="1" applyAlignment="1" applyProtection="1">
      <alignment/>
      <protection/>
    </xf>
    <xf numFmtId="164" fontId="0" fillId="36" borderId="0" xfId="0" applyNumberFormat="1" applyFill="1" applyBorder="1" applyAlignment="1" applyProtection="1">
      <alignment/>
      <protection/>
    </xf>
    <xf numFmtId="0" fontId="0" fillId="35" borderId="16" xfId="0" applyFill="1" applyBorder="1" applyAlignment="1" applyProtection="1">
      <alignment/>
      <protection/>
    </xf>
    <xf numFmtId="0" fontId="2" fillId="35" borderId="17" xfId="0" applyFont="1" applyFill="1" applyBorder="1" applyAlignment="1" applyProtection="1">
      <alignment/>
      <protection/>
    </xf>
    <xf numFmtId="0" fontId="0" fillId="35" borderId="18" xfId="0" applyFill="1" applyBorder="1" applyAlignment="1" applyProtection="1">
      <alignment/>
      <protection/>
    </xf>
    <xf numFmtId="0" fontId="2" fillId="35" borderId="19" xfId="0" applyFont="1" applyFill="1" applyBorder="1" applyAlignment="1" applyProtection="1">
      <alignment horizontal="centerContinuous"/>
      <protection/>
    </xf>
    <xf numFmtId="0" fontId="2" fillId="35" borderId="0" xfId="0" applyFont="1" applyFill="1" applyBorder="1" applyAlignment="1" applyProtection="1">
      <alignment horizontal="centerContinuous"/>
      <protection/>
    </xf>
    <xf numFmtId="0" fontId="2" fillId="35" borderId="14" xfId="0" applyFont="1" applyFill="1" applyBorder="1" applyAlignment="1" applyProtection="1">
      <alignment horizontal="centerContinuous"/>
      <protection/>
    </xf>
    <xf numFmtId="0" fontId="0" fillId="35" borderId="19" xfId="0" applyFill="1" applyBorder="1" applyAlignment="1" applyProtection="1">
      <alignment/>
      <protection/>
    </xf>
    <xf numFmtId="0" fontId="0" fillId="35" borderId="14" xfId="0" applyFill="1" applyBorder="1" applyAlignment="1" applyProtection="1">
      <alignment/>
      <protection/>
    </xf>
    <xf numFmtId="0" fontId="2" fillId="35" borderId="19" xfId="0" applyFont="1" applyFill="1" applyBorder="1" applyAlignment="1" applyProtection="1">
      <alignment/>
      <protection/>
    </xf>
    <xf numFmtId="0" fontId="2" fillId="35" borderId="0" xfId="0" applyFont="1" applyFill="1" applyBorder="1" applyAlignment="1" applyProtection="1">
      <alignment horizontal="right"/>
      <protection/>
    </xf>
    <xf numFmtId="0" fontId="2" fillId="35" borderId="0"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0" fontId="0" fillId="35" borderId="20" xfId="0" applyFill="1" applyBorder="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38" fontId="0" fillId="35" borderId="0" xfId="0" applyNumberFormat="1" applyFill="1" applyBorder="1" applyAlignment="1" applyProtection="1">
      <alignment/>
      <protection/>
    </xf>
    <xf numFmtId="0" fontId="11" fillId="35" borderId="16" xfId="0" applyFont="1" applyFill="1" applyBorder="1" applyAlignment="1" applyProtection="1">
      <alignment horizontal="centerContinuous"/>
      <protection/>
    </xf>
    <xf numFmtId="0" fontId="11" fillId="35" borderId="17" xfId="0" applyFont="1" applyFill="1" applyBorder="1" applyAlignment="1" applyProtection="1">
      <alignment horizontal="centerContinuous"/>
      <protection/>
    </xf>
    <xf numFmtId="0" fontId="11" fillId="35" borderId="18" xfId="0" applyFont="1" applyFill="1" applyBorder="1" applyAlignment="1" applyProtection="1">
      <alignment horizontal="centerContinuous"/>
      <protection/>
    </xf>
    <xf numFmtId="0" fontId="2" fillId="35" borderId="0" xfId="0" applyFont="1" applyFill="1" applyBorder="1" applyAlignment="1" applyProtection="1">
      <alignment horizontal="centerContinuous"/>
      <protection/>
    </xf>
    <xf numFmtId="0" fontId="2" fillId="35" borderId="14" xfId="0" applyFont="1" applyFill="1" applyBorder="1" applyAlignment="1" applyProtection="1">
      <alignment horizontal="centerContinuous"/>
      <protection/>
    </xf>
    <xf numFmtId="0" fontId="2" fillId="35" borderId="20" xfId="0" applyFont="1" applyFill="1" applyBorder="1" applyAlignment="1" applyProtection="1">
      <alignment/>
      <protection/>
    </xf>
    <xf numFmtId="0" fontId="6" fillId="35" borderId="21" xfId="0" applyFont="1" applyFill="1" applyBorder="1" applyAlignment="1" applyProtection="1">
      <alignment horizontal="right"/>
      <protection/>
    </xf>
    <xf numFmtId="0" fontId="10" fillId="36" borderId="0" xfId="0" applyFont="1" applyFill="1" applyBorder="1" applyAlignment="1">
      <alignment horizontal="centerContinuous"/>
    </xf>
    <xf numFmtId="0" fontId="2" fillId="36" borderId="0" xfId="0" applyFont="1" applyFill="1" applyBorder="1" applyAlignment="1" applyProtection="1">
      <alignment horizontal="centerContinuous"/>
      <protection/>
    </xf>
    <xf numFmtId="0" fontId="2" fillId="36" borderId="0" xfId="0" applyFont="1" applyFill="1" applyBorder="1" applyAlignment="1" applyProtection="1">
      <alignment horizontal="centerContinuous"/>
      <protection/>
    </xf>
    <xf numFmtId="0" fontId="2" fillId="36" borderId="0" xfId="0" applyFont="1" applyFill="1" applyBorder="1" applyAlignment="1" applyProtection="1">
      <alignment horizontal="center"/>
      <protection/>
    </xf>
    <xf numFmtId="0" fontId="3" fillId="35" borderId="0" xfId="0" applyFont="1" applyFill="1" applyBorder="1" applyAlignment="1" applyProtection="1">
      <alignment horizontal="right"/>
      <protection/>
    </xf>
    <xf numFmtId="0" fontId="2" fillId="35" borderId="16" xfId="0" applyFont="1" applyFill="1" applyBorder="1" applyAlignment="1" applyProtection="1">
      <alignment/>
      <protection/>
    </xf>
    <xf numFmtId="0" fontId="6" fillId="35" borderId="17" xfId="0" applyFont="1" applyFill="1" applyBorder="1" applyAlignment="1" applyProtection="1">
      <alignment horizontal="right"/>
      <protection/>
    </xf>
    <xf numFmtId="0" fontId="2" fillId="35" borderId="19"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21" fillId="36" borderId="0" xfId="0" applyFont="1" applyFill="1" applyBorder="1" applyAlignment="1">
      <alignment/>
    </xf>
    <xf numFmtId="0" fontId="2" fillId="36" borderId="0" xfId="0" applyFont="1" applyFill="1" applyBorder="1" applyAlignment="1" applyProtection="1">
      <alignment/>
      <protection/>
    </xf>
    <xf numFmtId="0" fontId="2" fillId="35" borderId="17" xfId="0" applyFont="1" applyFill="1" applyBorder="1" applyAlignment="1" applyProtection="1">
      <alignment horizontal="centerContinuous"/>
      <protection/>
    </xf>
    <xf numFmtId="0" fontId="2" fillId="35" borderId="18" xfId="0" applyFont="1" applyFill="1" applyBorder="1" applyAlignment="1" applyProtection="1">
      <alignment horizontal="centerContinuous"/>
      <protection/>
    </xf>
    <xf numFmtId="0" fontId="2" fillId="35" borderId="0" xfId="0" applyFont="1" applyFill="1" applyBorder="1" applyAlignment="1" applyProtection="1">
      <alignment/>
      <protection/>
    </xf>
    <xf numFmtId="0" fontId="4" fillId="35" borderId="0" xfId="0" applyFont="1" applyFill="1" applyBorder="1" applyAlignment="1" applyProtection="1">
      <alignment horizontal="right"/>
      <protection/>
    </xf>
    <xf numFmtId="0" fontId="22" fillId="35" borderId="16" xfId="0" applyFont="1" applyFill="1" applyBorder="1" applyAlignment="1">
      <alignment/>
    </xf>
    <xf numFmtId="0" fontId="23" fillId="35" borderId="17" xfId="0" applyFont="1" applyFill="1" applyBorder="1" applyAlignment="1" applyProtection="1">
      <alignment horizontal="centerContinuous"/>
      <protection/>
    </xf>
    <xf numFmtId="0" fontId="23" fillId="35" borderId="18" xfId="0" applyFont="1" applyFill="1" applyBorder="1" applyAlignment="1" applyProtection="1">
      <alignment horizontal="centerContinuous"/>
      <protection/>
    </xf>
    <xf numFmtId="0" fontId="22" fillId="35" borderId="19" xfId="0" applyFont="1" applyFill="1" applyBorder="1" applyAlignment="1">
      <alignment/>
    </xf>
    <xf numFmtId="0" fontId="22" fillId="35" borderId="0" xfId="0" applyFont="1" applyFill="1" applyBorder="1" applyAlignment="1" applyProtection="1">
      <alignment/>
      <protection/>
    </xf>
    <xf numFmtId="0" fontId="23" fillId="35" borderId="0" xfId="0" applyFont="1" applyFill="1" applyBorder="1" applyAlignment="1" applyProtection="1">
      <alignment/>
      <protection/>
    </xf>
    <xf numFmtId="0" fontId="22" fillId="35" borderId="14" xfId="0" applyFont="1" applyFill="1" applyBorder="1" applyAlignment="1" applyProtection="1">
      <alignment/>
      <protection/>
    </xf>
    <xf numFmtId="0" fontId="23" fillId="35" borderId="0" xfId="0" applyFont="1" applyFill="1" applyBorder="1" applyAlignment="1" applyProtection="1">
      <alignment/>
      <protection/>
    </xf>
    <xf numFmtId="0" fontId="24" fillId="35" borderId="0" xfId="0" applyFont="1" applyFill="1" applyBorder="1" applyAlignment="1" applyProtection="1">
      <alignment horizontal="right"/>
      <protection/>
    </xf>
    <xf numFmtId="0" fontId="23" fillId="35" borderId="0" xfId="0" applyFont="1" applyFill="1" applyBorder="1" applyAlignment="1" applyProtection="1">
      <alignment horizontal="right"/>
      <protection/>
    </xf>
    <xf numFmtId="38" fontId="22" fillId="35" borderId="0" xfId="0" applyNumberFormat="1" applyFont="1" applyFill="1" applyBorder="1" applyAlignment="1" applyProtection="1">
      <alignment/>
      <protection/>
    </xf>
    <xf numFmtId="0" fontId="23" fillId="35" borderId="0" xfId="0" applyFont="1" applyFill="1" applyBorder="1" applyAlignment="1" applyProtection="1">
      <alignment horizontal="right"/>
      <protection/>
    </xf>
    <xf numFmtId="0" fontId="22" fillId="35" borderId="20" xfId="0" applyFont="1" applyFill="1" applyBorder="1" applyAlignment="1">
      <alignment/>
    </xf>
    <xf numFmtId="0" fontId="22" fillId="35" borderId="21" xfId="0" applyFont="1" applyFill="1" applyBorder="1" applyAlignment="1" applyProtection="1">
      <alignment/>
      <protection/>
    </xf>
    <xf numFmtId="0" fontId="22" fillId="35" borderId="22" xfId="0" applyFont="1" applyFill="1" applyBorder="1" applyAlignment="1" applyProtection="1">
      <alignment/>
      <protection/>
    </xf>
    <xf numFmtId="164" fontId="22" fillId="34" borderId="12" xfId="0" applyNumberFormat="1" applyFont="1" applyFill="1" applyBorder="1" applyAlignment="1" applyProtection="1">
      <alignment/>
      <protection locked="0"/>
    </xf>
    <xf numFmtId="38" fontId="22" fillId="34" borderId="15" xfId="0" applyNumberFormat="1" applyFont="1" applyFill="1" applyBorder="1" applyAlignment="1" applyProtection="1">
      <alignment/>
      <protection locked="0"/>
    </xf>
    <xf numFmtId="164" fontId="22" fillId="33" borderId="10" xfId="0" applyNumberFormat="1" applyFont="1" applyFill="1" applyBorder="1" applyAlignment="1" applyProtection="1">
      <alignment/>
      <protection/>
    </xf>
    <xf numFmtId="0" fontId="2" fillId="36" borderId="0" xfId="0" applyFont="1" applyFill="1" applyAlignment="1">
      <alignment/>
    </xf>
    <xf numFmtId="0" fontId="2" fillId="35" borderId="19" xfId="0" applyFont="1" applyFill="1" applyBorder="1" applyAlignment="1">
      <alignment/>
    </xf>
    <xf numFmtId="0" fontId="2" fillId="35" borderId="0" xfId="0" applyFont="1" applyFill="1" applyBorder="1" applyAlignment="1">
      <alignment horizontal="left"/>
    </xf>
    <xf numFmtId="167" fontId="0" fillId="36" borderId="0" xfId="0" applyNumberFormat="1" applyFill="1" applyAlignment="1">
      <alignment/>
    </xf>
    <xf numFmtId="0" fontId="15" fillId="36" borderId="0" xfId="0" applyFont="1" applyFill="1" applyAlignment="1">
      <alignment/>
    </xf>
    <xf numFmtId="0" fontId="27" fillId="36" borderId="0" xfId="0" applyFont="1" applyFill="1" applyAlignment="1">
      <alignment/>
    </xf>
    <xf numFmtId="170" fontId="0" fillId="36" borderId="0" xfId="0" applyNumberFormat="1" applyFill="1" applyAlignment="1" applyProtection="1">
      <alignment/>
      <protection hidden="1"/>
    </xf>
    <xf numFmtId="170" fontId="0" fillId="35" borderId="17" xfId="0" applyNumberFormat="1" applyFill="1" applyBorder="1" applyAlignment="1" applyProtection="1">
      <alignment/>
      <protection hidden="1"/>
    </xf>
    <xf numFmtId="170" fontId="0" fillId="35" borderId="0" xfId="0" applyNumberFormat="1" applyFill="1" applyBorder="1" applyAlignment="1" applyProtection="1">
      <alignment/>
      <protection hidden="1"/>
    </xf>
    <xf numFmtId="0" fontId="2" fillId="35" borderId="19" xfId="0" applyFont="1" applyFill="1" applyBorder="1" applyAlignment="1">
      <alignment/>
    </xf>
    <xf numFmtId="166" fontId="0" fillId="35" borderId="0" xfId="0" applyNumberFormat="1" applyFill="1" applyBorder="1" applyAlignment="1">
      <alignment/>
    </xf>
    <xf numFmtId="166" fontId="0" fillId="33" borderId="23" xfId="0" applyNumberFormat="1" applyFill="1" applyBorder="1" applyAlignment="1">
      <alignment/>
    </xf>
    <xf numFmtId="0" fontId="13" fillId="36" borderId="0" xfId="0" applyFont="1" applyFill="1" applyAlignment="1">
      <alignment/>
    </xf>
    <xf numFmtId="0" fontId="30" fillId="36" borderId="0" xfId="0" applyFont="1" applyFill="1" applyAlignment="1">
      <alignment/>
    </xf>
    <xf numFmtId="0" fontId="0" fillId="36" borderId="0" xfId="0" applyFont="1" applyFill="1" applyAlignment="1">
      <alignment/>
    </xf>
    <xf numFmtId="0" fontId="2" fillId="36" borderId="0" xfId="0" applyFont="1" applyFill="1" applyAlignment="1">
      <alignment/>
    </xf>
    <xf numFmtId="0" fontId="0" fillId="35" borderId="17" xfId="0" applyFont="1" applyFill="1" applyBorder="1" applyAlignment="1">
      <alignment/>
    </xf>
    <xf numFmtId="0" fontId="0" fillId="35" borderId="19"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xf>
    <xf numFmtId="0" fontId="0" fillId="35" borderId="19" xfId="0" applyFont="1" applyFill="1" applyBorder="1" applyAlignment="1">
      <alignment/>
    </xf>
    <xf numFmtId="0" fontId="0" fillId="35" borderId="20" xfId="0" applyFont="1" applyFill="1" applyBorder="1" applyAlignment="1">
      <alignment/>
    </xf>
    <xf numFmtId="0" fontId="0" fillId="35" borderId="21" xfId="0" applyFont="1" applyFill="1" applyBorder="1" applyAlignment="1">
      <alignment/>
    </xf>
    <xf numFmtId="0" fontId="0" fillId="36" borderId="0" xfId="0" applyFont="1" applyFill="1" applyAlignment="1">
      <alignment/>
    </xf>
    <xf numFmtId="166" fontId="0" fillId="33" borderId="23" xfId="0" applyNumberFormat="1" applyFont="1" applyFill="1" applyBorder="1" applyAlignment="1">
      <alignment/>
    </xf>
    <xf numFmtId="0" fontId="19" fillId="36" borderId="0" xfId="0" applyFont="1" applyFill="1" applyAlignment="1">
      <alignment/>
    </xf>
    <xf numFmtId="0" fontId="31" fillId="36" borderId="0" xfId="0" applyFont="1" applyFill="1" applyAlignment="1">
      <alignment/>
    </xf>
    <xf numFmtId="0" fontId="12" fillId="36" borderId="0" xfId="0" applyFont="1" applyFill="1" applyAlignment="1">
      <alignment/>
    </xf>
    <xf numFmtId="166" fontId="0" fillId="33" borderId="10" xfId="0" applyNumberFormat="1" applyFont="1" applyFill="1" applyBorder="1" applyAlignment="1">
      <alignment/>
    </xf>
    <xf numFmtId="0" fontId="12" fillId="36" borderId="0" xfId="0" applyFont="1" applyFill="1" applyAlignment="1">
      <alignment/>
    </xf>
    <xf numFmtId="0" fontId="12" fillId="36" borderId="0" xfId="0" applyFont="1" applyFill="1" applyAlignment="1">
      <alignment horizontal="center"/>
    </xf>
    <xf numFmtId="170" fontId="0" fillId="36" borderId="0" xfId="0" applyNumberFormat="1" applyFill="1" applyAlignment="1">
      <alignment/>
    </xf>
    <xf numFmtId="0" fontId="2" fillId="35" borderId="0" xfId="0" applyFont="1" applyFill="1" applyBorder="1" applyAlignment="1">
      <alignment/>
    </xf>
    <xf numFmtId="0" fontId="2" fillId="35" borderId="21" xfId="0" applyFont="1" applyFill="1" applyBorder="1" applyAlignment="1">
      <alignment/>
    </xf>
    <xf numFmtId="9" fontId="0" fillId="34" borderId="10" xfId="0" applyNumberFormat="1" applyFill="1" applyBorder="1" applyAlignment="1" applyProtection="1">
      <alignment/>
      <protection locked="0"/>
    </xf>
    <xf numFmtId="0" fontId="28" fillId="36" borderId="0" xfId="0" applyFont="1" applyFill="1" applyAlignment="1">
      <alignment/>
    </xf>
    <xf numFmtId="0" fontId="18" fillId="35" borderId="0" xfId="0" applyFont="1" applyFill="1" applyBorder="1" applyAlignment="1">
      <alignment/>
    </xf>
    <xf numFmtId="0" fontId="18" fillId="36" borderId="0" xfId="0" applyFont="1" applyFill="1" applyBorder="1" applyAlignment="1">
      <alignment/>
    </xf>
    <xf numFmtId="0" fontId="20" fillId="36" borderId="0" xfId="0" applyFont="1" applyFill="1" applyAlignment="1">
      <alignment/>
    </xf>
    <xf numFmtId="0" fontId="22" fillId="36" borderId="0" xfId="0" applyFont="1" applyFill="1" applyAlignment="1">
      <alignment/>
    </xf>
    <xf numFmtId="0" fontId="34" fillId="36" borderId="0" xfId="0" applyFont="1" applyFill="1" applyAlignment="1">
      <alignment/>
    </xf>
    <xf numFmtId="170" fontId="0" fillId="35" borderId="19" xfId="0" applyNumberFormat="1" applyFill="1" applyBorder="1" applyAlignment="1">
      <alignment/>
    </xf>
    <xf numFmtId="0" fontId="35" fillId="36" borderId="0" xfId="0" applyFont="1" applyFill="1" applyAlignment="1">
      <alignment/>
    </xf>
    <xf numFmtId="0" fontId="0" fillId="35" borderId="0" xfId="0" applyFont="1" applyFill="1" applyBorder="1" applyAlignment="1">
      <alignment/>
    </xf>
    <xf numFmtId="0" fontId="93" fillId="36" borderId="0" xfId="0" applyFont="1" applyFill="1" applyAlignment="1">
      <alignment/>
    </xf>
    <xf numFmtId="0" fontId="93" fillId="36" borderId="0" xfId="0" applyFont="1" applyFill="1" applyBorder="1" applyAlignment="1" applyProtection="1">
      <alignment/>
      <protection/>
    </xf>
    <xf numFmtId="0" fontId="94" fillId="36" borderId="0" xfId="0" applyFont="1" applyFill="1" applyAlignment="1" applyProtection="1">
      <alignment/>
      <protection/>
    </xf>
    <xf numFmtId="0" fontId="37" fillId="36" borderId="0" xfId="0" applyFont="1" applyFill="1" applyBorder="1" applyAlignment="1" applyProtection="1">
      <alignment/>
      <protection/>
    </xf>
    <xf numFmtId="0" fontId="38" fillId="36" borderId="0" xfId="0" applyFont="1" applyFill="1" applyBorder="1" applyAlignment="1" applyProtection="1">
      <alignment horizontal="centerContinuous"/>
      <protection/>
    </xf>
    <xf numFmtId="0" fontId="37" fillId="36" borderId="0" xfId="0" applyFont="1" applyFill="1" applyBorder="1" applyAlignment="1">
      <alignment/>
    </xf>
    <xf numFmtId="0" fontId="39" fillId="36" borderId="0" xfId="0" applyFont="1" applyFill="1" applyBorder="1" applyAlignment="1" applyProtection="1">
      <alignment horizontal="left"/>
      <protection/>
    </xf>
    <xf numFmtId="0" fontId="93" fillId="36" borderId="0" xfId="0" applyFont="1" applyFill="1" applyAlignment="1" applyProtection="1">
      <alignment/>
      <protection/>
    </xf>
    <xf numFmtId="0" fontId="95" fillId="36" borderId="0" xfId="0" applyFont="1" applyFill="1" applyAlignment="1" applyProtection="1">
      <alignment/>
      <protection/>
    </xf>
    <xf numFmtId="0" fontId="37" fillId="36" borderId="0" xfId="0" applyFont="1" applyFill="1" applyAlignment="1">
      <alignment/>
    </xf>
    <xf numFmtId="0" fontId="0" fillId="35" borderId="24" xfId="0" applyFont="1" applyFill="1" applyBorder="1" applyAlignment="1">
      <alignment/>
    </xf>
    <xf numFmtId="0" fontId="0" fillId="35" borderId="11" xfId="0" applyFont="1" applyFill="1" applyBorder="1" applyAlignment="1">
      <alignment vertical="top"/>
    </xf>
    <xf numFmtId="171" fontId="0" fillId="33" borderId="12" xfId="0" applyNumberFormat="1" applyFill="1" applyBorder="1" applyAlignment="1">
      <alignment/>
    </xf>
    <xf numFmtId="171" fontId="0" fillId="33" borderId="13" xfId="0" applyNumberFormat="1" applyFill="1" applyBorder="1" applyAlignment="1">
      <alignment/>
    </xf>
    <xf numFmtId="171" fontId="0" fillId="33" borderId="15" xfId="0" applyNumberFormat="1" applyFill="1" applyBorder="1" applyAlignment="1">
      <alignment/>
    </xf>
    <xf numFmtId="0" fontId="0" fillId="35" borderId="25" xfId="0" applyFont="1" applyFill="1" applyBorder="1" applyAlignment="1">
      <alignment/>
    </xf>
    <xf numFmtId="0" fontId="45" fillId="35" borderId="19" xfId="0" applyFont="1" applyFill="1" applyBorder="1" applyAlignment="1">
      <alignment/>
    </xf>
    <xf numFmtId="166" fontId="0" fillId="37" borderId="23" xfId="0" applyNumberFormat="1" applyFill="1" applyBorder="1" applyAlignment="1">
      <alignment/>
    </xf>
    <xf numFmtId="0" fontId="45" fillId="35" borderId="16" xfId="0" applyFont="1" applyFill="1" applyBorder="1" applyAlignment="1">
      <alignment/>
    </xf>
    <xf numFmtId="0" fontId="0" fillId="38" borderId="0" xfId="0" applyFill="1" applyAlignment="1">
      <alignment/>
    </xf>
    <xf numFmtId="0" fontId="18" fillId="35" borderId="0" xfId="0" applyFont="1" applyFill="1" applyBorder="1" applyAlignment="1">
      <alignment/>
    </xf>
    <xf numFmtId="0" fontId="0" fillId="38" borderId="18" xfId="0" applyFill="1" applyBorder="1" applyAlignment="1">
      <alignment/>
    </xf>
    <xf numFmtId="0" fontId="0" fillId="38" borderId="14" xfId="0" applyFill="1" applyBorder="1" applyAlignment="1">
      <alignment/>
    </xf>
    <xf numFmtId="0" fontId="0" fillId="38" borderId="22" xfId="0" applyFill="1" applyBorder="1" applyAlignment="1">
      <alignment/>
    </xf>
    <xf numFmtId="168" fontId="0" fillId="34" borderId="23" xfId="0" applyNumberFormat="1" applyFill="1" applyBorder="1" applyAlignment="1" applyProtection="1">
      <alignment/>
      <protection locked="0"/>
    </xf>
    <xf numFmtId="1" fontId="0" fillId="34" borderId="23" xfId="0" applyNumberFormat="1" applyFill="1" applyBorder="1" applyAlignment="1" applyProtection="1">
      <alignment/>
      <protection locked="0"/>
    </xf>
    <xf numFmtId="171" fontId="18" fillId="35" borderId="0" xfId="0" applyNumberFormat="1" applyFont="1" applyFill="1" applyBorder="1" applyAlignment="1">
      <alignment/>
    </xf>
    <xf numFmtId="171" fontId="18" fillId="35" borderId="17" xfId="0" applyNumberFormat="1" applyFont="1" applyFill="1" applyBorder="1" applyAlignment="1">
      <alignment/>
    </xf>
    <xf numFmtId="0" fontId="96" fillId="38" borderId="18" xfId="0" applyFont="1" applyFill="1" applyBorder="1" applyAlignment="1">
      <alignment/>
    </xf>
    <xf numFmtId="0" fontId="96" fillId="38" borderId="14" xfId="0" applyFont="1" applyFill="1" applyBorder="1" applyAlignment="1">
      <alignment/>
    </xf>
    <xf numFmtId="0" fontId="96" fillId="38" borderId="22" xfId="0" applyFont="1" applyFill="1" applyBorder="1" applyAlignment="1">
      <alignment/>
    </xf>
    <xf numFmtId="168" fontId="0" fillId="34" borderId="23" xfId="0" applyNumberFormat="1" applyFont="1" applyFill="1" applyBorder="1" applyAlignment="1" applyProtection="1">
      <alignment/>
      <protection locked="0"/>
    </xf>
    <xf numFmtId="1" fontId="0" fillId="34" borderId="23" xfId="0" applyNumberFormat="1" applyFont="1" applyFill="1" applyBorder="1" applyAlignment="1" applyProtection="1">
      <alignment/>
      <protection locked="0"/>
    </xf>
    <xf numFmtId="0" fontId="9" fillId="35" borderId="16" xfId="0" applyFont="1" applyFill="1" applyBorder="1" applyAlignment="1">
      <alignment/>
    </xf>
    <xf numFmtId="0" fontId="19" fillId="35" borderId="16" xfId="0" applyFont="1" applyFill="1" applyBorder="1" applyAlignment="1">
      <alignment/>
    </xf>
    <xf numFmtId="0" fontId="48" fillId="36" borderId="0" xfId="0" applyFont="1" applyFill="1" applyAlignment="1">
      <alignment/>
    </xf>
    <xf numFmtId="0" fontId="49" fillId="36" borderId="0" xfId="0" applyFont="1" applyFill="1" applyAlignment="1">
      <alignment/>
    </xf>
    <xf numFmtId="0" fontId="9" fillId="35" borderId="0" xfId="0" applyFont="1" applyFill="1" applyBorder="1" applyAlignment="1">
      <alignment horizontal="center"/>
    </xf>
    <xf numFmtId="0" fontId="0" fillId="36" borderId="0" xfId="0" applyFont="1" applyFill="1" applyAlignment="1">
      <alignment/>
    </xf>
    <xf numFmtId="0" fontId="20" fillId="36" borderId="0" xfId="0" applyFont="1" applyFill="1" applyAlignment="1">
      <alignment/>
    </xf>
    <xf numFmtId="0" fontId="2" fillId="35" borderId="0" xfId="0" applyFont="1" applyFill="1" applyBorder="1" applyAlignment="1">
      <alignment horizontal="right"/>
    </xf>
    <xf numFmtId="166" fontId="96" fillId="0" borderId="0" xfId="0" applyNumberFormat="1" applyFont="1" applyFill="1" applyBorder="1" applyAlignment="1">
      <alignment/>
    </xf>
    <xf numFmtId="171" fontId="0" fillId="37" borderId="10" xfId="0" applyNumberFormat="1" applyFill="1" applyBorder="1" applyAlignment="1">
      <alignment/>
    </xf>
    <xf numFmtId="0" fontId="0" fillId="38" borderId="19" xfId="0" applyFill="1" applyBorder="1" applyAlignment="1">
      <alignment/>
    </xf>
    <xf numFmtId="0" fontId="96" fillId="0" borderId="0" xfId="0" applyFont="1" applyFill="1" applyBorder="1" applyAlignment="1">
      <alignment/>
    </xf>
    <xf numFmtId="166" fontId="96" fillId="0" borderId="21" xfId="0" applyNumberFormat="1" applyFont="1" applyFill="1" applyBorder="1" applyAlignment="1">
      <alignment/>
    </xf>
    <xf numFmtId="0" fontId="96" fillId="35" borderId="16" xfId="0" applyFont="1" applyFill="1" applyBorder="1" applyAlignment="1">
      <alignment/>
    </xf>
    <xf numFmtId="0" fontId="96" fillId="35" borderId="17" xfId="0" applyFont="1" applyFill="1" applyBorder="1" applyAlignment="1">
      <alignment/>
    </xf>
    <xf numFmtId="0" fontId="0" fillId="38" borderId="0" xfId="0" applyFill="1" applyBorder="1" applyAlignment="1">
      <alignment/>
    </xf>
    <xf numFmtId="0" fontId="96" fillId="35" borderId="0" xfId="0" applyFont="1" applyFill="1" applyBorder="1" applyAlignment="1" applyProtection="1">
      <alignment/>
      <protection/>
    </xf>
    <xf numFmtId="0" fontId="2" fillId="35" borderId="0" xfId="0" applyFont="1" applyFill="1" applyBorder="1" applyAlignment="1">
      <alignment horizontal="right"/>
    </xf>
    <xf numFmtId="0" fontId="96" fillId="38" borderId="0" xfId="0" applyFont="1" applyFill="1" applyAlignment="1">
      <alignment/>
    </xf>
    <xf numFmtId="0" fontId="2" fillId="35" borderId="0" xfId="0" applyFont="1" applyFill="1" applyBorder="1" applyAlignment="1">
      <alignment horizontal="right" vertical="center"/>
    </xf>
    <xf numFmtId="0" fontId="15" fillId="38" borderId="0" xfId="0" applyFont="1" applyFill="1" applyAlignment="1">
      <alignment/>
    </xf>
    <xf numFmtId="0" fontId="97" fillId="35" borderId="0" xfId="0" applyFont="1" applyFill="1" applyBorder="1" applyAlignment="1">
      <alignment/>
    </xf>
    <xf numFmtId="0" fontId="15" fillId="35" borderId="0" xfId="0" applyFont="1" applyFill="1" applyBorder="1" applyAlignment="1">
      <alignment/>
    </xf>
    <xf numFmtId="3" fontId="0" fillId="34" borderId="13" xfId="0" applyNumberFormat="1" applyFont="1" applyFill="1" applyBorder="1" applyAlignment="1" applyProtection="1">
      <alignment/>
      <protection locked="0"/>
    </xf>
    <xf numFmtId="3" fontId="0" fillId="34" borderId="15" xfId="0" applyNumberFormat="1" applyFont="1" applyFill="1" applyBorder="1" applyAlignment="1" applyProtection="1">
      <alignment/>
      <protection locked="0"/>
    </xf>
    <xf numFmtId="4" fontId="0" fillId="33" borderId="10" xfId="0" applyNumberFormat="1" applyFill="1" applyBorder="1" applyAlignment="1">
      <alignment/>
    </xf>
    <xf numFmtId="0" fontId="19" fillId="35" borderId="0" xfId="0" applyFont="1" applyFill="1" applyBorder="1" applyAlignment="1">
      <alignment/>
    </xf>
    <xf numFmtId="0" fontId="19" fillId="34" borderId="26" xfId="0" applyFont="1" applyFill="1" applyBorder="1" applyAlignment="1" applyProtection="1">
      <alignment/>
      <protection locked="0"/>
    </xf>
    <xf numFmtId="0" fontId="19" fillId="34" borderId="27" xfId="0" applyFont="1" applyFill="1" applyBorder="1" applyAlignment="1" applyProtection="1">
      <alignment/>
      <protection locked="0"/>
    </xf>
    <xf numFmtId="0" fontId="19" fillId="34" borderId="28" xfId="0" applyFont="1" applyFill="1" applyBorder="1" applyAlignment="1" applyProtection="1">
      <alignment/>
      <protection locked="0"/>
    </xf>
    <xf numFmtId="0" fontId="19" fillId="34" borderId="29" xfId="0" applyFont="1" applyFill="1" applyBorder="1" applyAlignment="1" applyProtection="1">
      <alignment/>
      <protection locked="0"/>
    </xf>
    <xf numFmtId="0" fontId="19" fillId="34" borderId="23" xfId="0" applyFont="1" applyFill="1" applyBorder="1" applyAlignment="1" applyProtection="1">
      <alignment/>
      <protection locked="0"/>
    </xf>
    <xf numFmtId="0" fontId="19" fillId="34" borderId="30" xfId="0" applyFont="1" applyFill="1" applyBorder="1" applyAlignment="1" applyProtection="1">
      <alignment/>
      <protection locked="0"/>
    </xf>
    <xf numFmtId="167" fontId="19" fillId="33" borderId="13" xfId="0" applyNumberFormat="1" applyFont="1" applyFill="1" applyBorder="1" applyAlignment="1">
      <alignment/>
    </xf>
    <xf numFmtId="0" fontId="19" fillId="34" borderId="31" xfId="0" applyFont="1" applyFill="1" applyBorder="1" applyAlignment="1" applyProtection="1">
      <alignment/>
      <protection locked="0"/>
    </xf>
    <xf numFmtId="0" fontId="19" fillId="34" borderId="32" xfId="0" applyFont="1" applyFill="1" applyBorder="1" applyAlignment="1" applyProtection="1">
      <alignment/>
      <protection locked="0"/>
    </xf>
    <xf numFmtId="0" fontId="19" fillId="34" borderId="33" xfId="0" applyFont="1" applyFill="1" applyBorder="1" applyAlignment="1" applyProtection="1">
      <alignment/>
      <protection locked="0"/>
    </xf>
    <xf numFmtId="167" fontId="19" fillId="33" borderId="15" xfId="0" applyNumberFormat="1" applyFont="1" applyFill="1" applyBorder="1" applyAlignment="1">
      <alignment/>
    </xf>
    <xf numFmtId="0" fontId="53" fillId="36" borderId="0" xfId="0" applyFont="1" applyFill="1" applyAlignment="1">
      <alignment/>
    </xf>
    <xf numFmtId="0" fontId="54" fillId="35" borderId="17" xfId="0" applyFont="1" applyFill="1" applyBorder="1" applyAlignment="1">
      <alignment horizontal="center"/>
    </xf>
    <xf numFmtId="0" fontId="56" fillId="35" borderId="17" xfId="0" applyFont="1" applyFill="1" applyBorder="1" applyAlignment="1">
      <alignment horizontal="center"/>
    </xf>
    <xf numFmtId="167" fontId="56" fillId="35" borderId="17" xfId="0" applyNumberFormat="1" applyFont="1" applyFill="1" applyBorder="1" applyAlignment="1">
      <alignment horizontal="center"/>
    </xf>
    <xf numFmtId="0" fontId="57" fillId="35" borderId="0" xfId="0" applyFont="1" applyFill="1" applyBorder="1" applyAlignment="1">
      <alignment/>
    </xf>
    <xf numFmtId="0" fontId="46" fillId="35" borderId="0" xfId="0" applyFont="1" applyFill="1" applyBorder="1" applyAlignment="1">
      <alignment/>
    </xf>
    <xf numFmtId="169" fontId="9" fillId="33" borderId="23" xfId="0" applyNumberFormat="1" applyFont="1" applyFill="1" applyBorder="1" applyAlignment="1">
      <alignment/>
    </xf>
    <xf numFmtId="168" fontId="9" fillId="33" borderId="23" xfId="0" applyNumberFormat="1" applyFont="1" applyFill="1" applyBorder="1" applyAlignment="1">
      <alignment/>
    </xf>
    <xf numFmtId="1" fontId="9" fillId="33" borderId="23" xfId="0" applyNumberFormat="1" applyFont="1" applyFill="1" applyBorder="1" applyAlignment="1">
      <alignment/>
    </xf>
    <xf numFmtId="0" fontId="9" fillId="38" borderId="23" xfId="0" applyFont="1" applyFill="1" applyBorder="1" applyAlignment="1">
      <alignment/>
    </xf>
    <xf numFmtId="167" fontId="19" fillId="33" borderId="12" xfId="0" applyNumberFormat="1" applyFont="1" applyFill="1" applyBorder="1" applyAlignment="1">
      <alignment/>
    </xf>
    <xf numFmtId="0" fontId="9" fillId="35" borderId="17" xfId="0" applyFont="1" applyFill="1" applyBorder="1" applyAlignment="1">
      <alignment/>
    </xf>
    <xf numFmtId="0" fontId="9" fillId="35" borderId="18" xfId="0" applyFont="1" applyFill="1" applyBorder="1" applyAlignment="1">
      <alignment/>
    </xf>
    <xf numFmtId="0" fontId="9" fillId="35" borderId="19" xfId="0" applyFont="1" applyFill="1" applyBorder="1" applyAlignment="1">
      <alignment/>
    </xf>
    <xf numFmtId="0" fontId="9" fillId="35" borderId="14" xfId="0" applyFont="1" applyFill="1" applyBorder="1" applyAlignment="1">
      <alignment/>
    </xf>
    <xf numFmtId="1" fontId="57" fillId="35" borderId="0" xfId="0" applyNumberFormat="1" applyFont="1" applyFill="1" applyBorder="1" applyAlignment="1">
      <alignment/>
    </xf>
    <xf numFmtId="1" fontId="57" fillId="33" borderId="23" xfId="0" applyNumberFormat="1" applyFont="1" applyFill="1" applyBorder="1" applyAlignment="1">
      <alignment/>
    </xf>
    <xf numFmtId="2" fontId="57" fillId="35" borderId="0" xfId="0" applyNumberFormat="1" applyFont="1" applyFill="1" applyBorder="1" applyAlignment="1">
      <alignment/>
    </xf>
    <xf numFmtId="2" fontId="57" fillId="33" borderId="23" xfId="0" applyNumberFormat="1" applyFont="1" applyFill="1" applyBorder="1" applyAlignment="1">
      <alignment/>
    </xf>
    <xf numFmtId="0" fontId="57" fillId="33" borderId="23" xfId="0" applyFont="1" applyFill="1" applyBorder="1" applyAlignment="1">
      <alignment/>
    </xf>
    <xf numFmtId="0" fontId="9" fillId="35" borderId="20" xfId="0" applyFont="1" applyFill="1" applyBorder="1" applyAlignment="1">
      <alignment/>
    </xf>
    <xf numFmtId="0" fontId="9" fillId="35" borderId="21" xfId="0" applyFont="1" applyFill="1" applyBorder="1" applyAlignment="1">
      <alignment/>
    </xf>
    <xf numFmtId="0" fontId="46" fillId="35" borderId="21" xfId="0" applyFont="1" applyFill="1" applyBorder="1" applyAlignment="1">
      <alignment/>
    </xf>
    <xf numFmtId="0" fontId="46" fillId="35" borderId="22" xfId="0" applyFont="1" applyFill="1" applyBorder="1" applyAlignment="1">
      <alignment/>
    </xf>
    <xf numFmtId="1" fontId="57" fillId="33" borderId="34" xfId="0" applyNumberFormat="1" applyFont="1" applyFill="1" applyBorder="1" applyAlignment="1">
      <alignment/>
    </xf>
    <xf numFmtId="2" fontId="57" fillId="33" borderId="34" xfId="0" applyNumberFormat="1" applyFont="1" applyFill="1" applyBorder="1" applyAlignment="1">
      <alignment/>
    </xf>
    <xf numFmtId="2" fontId="57" fillId="33" borderId="35" xfId="0" applyNumberFormat="1" applyFont="1" applyFill="1" applyBorder="1" applyAlignment="1">
      <alignment/>
    </xf>
    <xf numFmtId="0" fontId="15" fillId="35" borderId="19" xfId="0" applyFont="1" applyFill="1" applyBorder="1" applyAlignment="1" applyProtection="1">
      <alignment horizontal="centerContinuous"/>
      <protection/>
    </xf>
    <xf numFmtId="0" fontId="15" fillId="35" borderId="0" xfId="0" applyFont="1" applyFill="1" applyBorder="1" applyAlignment="1" applyProtection="1">
      <alignment horizontal="centerContinuous"/>
      <protection/>
    </xf>
    <xf numFmtId="0" fontId="15" fillId="35" borderId="14" xfId="0" applyFont="1" applyFill="1" applyBorder="1" applyAlignment="1" applyProtection="1">
      <alignment horizontal="centerContinuous"/>
      <protection/>
    </xf>
    <xf numFmtId="0" fontId="9" fillId="35" borderId="19" xfId="0" applyFont="1" applyFill="1" applyBorder="1" applyAlignment="1" applyProtection="1">
      <alignment/>
      <protection/>
    </xf>
    <xf numFmtId="0" fontId="9" fillId="35" borderId="0" xfId="0" applyFont="1" applyFill="1" applyBorder="1" applyAlignment="1" applyProtection="1">
      <alignment/>
      <protection/>
    </xf>
    <xf numFmtId="0" fontId="9" fillId="35" borderId="14" xfId="0" applyFont="1" applyFill="1" applyBorder="1" applyAlignment="1" applyProtection="1">
      <alignment/>
      <protection/>
    </xf>
    <xf numFmtId="0" fontId="15" fillId="35" borderId="19" xfId="0" applyFont="1" applyFill="1" applyBorder="1" applyAlignment="1" applyProtection="1">
      <alignment/>
      <protection/>
    </xf>
    <xf numFmtId="0" fontId="15" fillId="35" borderId="0" xfId="0" applyFont="1" applyFill="1" applyBorder="1" applyAlignment="1" applyProtection="1">
      <alignment horizontal="right"/>
      <protection/>
    </xf>
    <xf numFmtId="165" fontId="9" fillId="34" borderId="10" xfId="0" applyNumberFormat="1" applyFont="1" applyFill="1" applyBorder="1" applyAlignment="1" applyProtection="1">
      <alignment/>
      <protection locked="0"/>
    </xf>
    <xf numFmtId="38" fontId="9" fillId="35" borderId="0" xfId="0" applyNumberFormat="1" applyFont="1" applyFill="1" applyBorder="1" applyAlignment="1" applyProtection="1">
      <alignment/>
      <protection/>
    </xf>
    <xf numFmtId="0" fontId="11" fillId="35" borderId="0" xfId="0" applyFont="1" applyFill="1" applyBorder="1" applyAlignment="1" applyProtection="1">
      <alignment horizontal="right"/>
      <protection/>
    </xf>
    <xf numFmtId="164" fontId="9" fillId="33" borderId="12" xfId="0" applyNumberFormat="1" applyFont="1" applyFill="1" applyBorder="1" applyAlignment="1" applyProtection="1">
      <alignment/>
      <protection/>
    </xf>
    <xf numFmtId="164" fontId="9" fillId="33" borderId="15" xfId="0" applyNumberFormat="1" applyFont="1" applyFill="1" applyBorder="1" applyAlignment="1" applyProtection="1">
      <alignment/>
      <protection/>
    </xf>
    <xf numFmtId="0" fontId="9" fillId="35" borderId="20" xfId="0" applyFont="1" applyFill="1" applyBorder="1" applyAlignment="1" applyProtection="1">
      <alignment/>
      <protection/>
    </xf>
    <xf numFmtId="0" fontId="9" fillId="35" borderId="21" xfId="0" applyFont="1" applyFill="1" applyBorder="1" applyAlignment="1" applyProtection="1">
      <alignment/>
      <protection/>
    </xf>
    <xf numFmtId="0" fontId="9" fillId="35" borderId="22" xfId="0" applyFont="1" applyFill="1" applyBorder="1" applyAlignment="1" applyProtection="1">
      <alignment/>
      <protection/>
    </xf>
    <xf numFmtId="164" fontId="9" fillId="34" borderId="10" xfId="0" applyNumberFormat="1" applyFont="1" applyFill="1" applyBorder="1" applyAlignment="1" applyProtection="1">
      <alignment/>
      <protection locked="0"/>
    </xf>
    <xf numFmtId="165" fontId="9" fillId="33" borderId="12" xfId="0" applyNumberFormat="1" applyFont="1" applyFill="1" applyBorder="1" applyAlignment="1" applyProtection="1">
      <alignment/>
      <protection/>
    </xf>
    <xf numFmtId="165" fontId="9" fillId="33" borderId="11" xfId="0" applyNumberFormat="1" applyFont="1" applyFill="1" applyBorder="1" applyAlignment="1" applyProtection="1">
      <alignment/>
      <protection/>
    </xf>
    <xf numFmtId="0" fontId="94" fillId="36" borderId="0" xfId="0" applyFont="1" applyFill="1" applyAlignment="1">
      <alignment/>
    </xf>
    <xf numFmtId="0" fontId="6" fillId="35" borderId="0" xfId="0" applyFont="1" applyFill="1" applyBorder="1" applyAlignment="1" applyProtection="1">
      <alignment horizontal="right"/>
      <protection/>
    </xf>
    <xf numFmtId="0" fontId="2" fillId="35" borderId="0" xfId="0" applyFont="1" applyFill="1" applyBorder="1" applyAlignment="1" applyProtection="1">
      <alignment horizontal="center"/>
      <protection/>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0" fillId="34" borderId="15" xfId="0" applyFill="1" applyBorder="1" applyAlignment="1" applyProtection="1">
      <alignment/>
      <protection locked="0"/>
    </xf>
    <xf numFmtId="0" fontId="0" fillId="35" borderId="0" xfId="0" applyFill="1" applyBorder="1" applyAlignment="1" applyProtection="1">
      <alignment horizontal="center"/>
      <protection/>
    </xf>
    <xf numFmtId="0" fontId="0" fillId="35" borderId="17" xfId="0" applyFill="1" applyBorder="1" applyAlignment="1" applyProtection="1">
      <alignment/>
      <protection/>
    </xf>
    <xf numFmtId="0" fontId="0" fillId="39" borderId="0" xfId="0" applyFill="1" applyAlignment="1" applyProtection="1">
      <alignment/>
      <protection/>
    </xf>
    <xf numFmtId="0" fontId="0" fillId="39" borderId="34" xfId="0" applyFill="1" applyBorder="1" applyAlignment="1" applyProtection="1">
      <alignment horizontal="right"/>
      <protection/>
    </xf>
    <xf numFmtId="0" fontId="22" fillId="39" borderId="0" xfId="0" applyFont="1" applyFill="1" applyAlignment="1" applyProtection="1">
      <alignment/>
      <protection/>
    </xf>
    <xf numFmtId="2" fontId="22" fillId="39" borderId="0" xfId="0" applyNumberFormat="1" applyFont="1" applyFill="1" applyAlignment="1" applyProtection="1">
      <alignment/>
      <protection/>
    </xf>
    <xf numFmtId="2" fontId="22" fillId="40" borderId="23" xfId="0" applyNumberFormat="1" applyFont="1" applyFill="1" applyBorder="1" applyAlignment="1" applyProtection="1">
      <alignment/>
      <protection/>
    </xf>
    <xf numFmtId="1" fontId="9" fillId="34" borderId="23" xfId="0" applyNumberFormat="1" applyFont="1" applyFill="1" applyBorder="1" applyAlignment="1" applyProtection="1">
      <alignment/>
      <protection locked="0"/>
    </xf>
    <xf numFmtId="2" fontId="9" fillId="34" borderId="23" xfId="0" applyNumberFormat="1" applyFont="1" applyFill="1" applyBorder="1" applyAlignment="1" applyProtection="1">
      <alignment/>
      <protection locked="0"/>
    </xf>
    <xf numFmtId="0" fontId="9" fillId="34" borderId="23" xfId="0" applyFont="1" applyFill="1" applyBorder="1" applyAlignment="1" applyProtection="1">
      <alignment/>
      <protection locked="0"/>
    </xf>
    <xf numFmtId="1" fontId="57" fillId="41" borderId="26" xfId="0" applyNumberFormat="1" applyFont="1" applyFill="1" applyBorder="1" applyAlignment="1" applyProtection="1">
      <alignment/>
      <protection locked="0"/>
    </xf>
    <xf numFmtId="1" fontId="57" fillId="41" borderId="36" xfId="0" applyNumberFormat="1" applyFont="1" applyFill="1" applyBorder="1" applyAlignment="1" applyProtection="1">
      <alignment/>
      <protection locked="0"/>
    </xf>
    <xf numFmtId="2" fontId="57" fillId="41" borderId="29" xfId="0" applyNumberFormat="1" applyFont="1" applyFill="1" applyBorder="1" applyAlignment="1" applyProtection="1">
      <alignment/>
      <protection locked="0"/>
    </xf>
    <xf numFmtId="2" fontId="57" fillId="41" borderId="37" xfId="0" applyNumberFormat="1" applyFont="1" applyFill="1" applyBorder="1" applyAlignment="1" applyProtection="1">
      <alignment/>
      <protection locked="0"/>
    </xf>
    <xf numFmtId="2" fontId="57" fillId="41" borderId="31" xfId="0" applyNumberFormat="1" applyFont="1" applyFill="1" applyBorder="1" applyAlignment="1" applyProtection="1">
      <alignment/>
      <protection locked="0"/>
    </xf>
    <xf numFmtId="2" fontId="57" fillId="41" borderId="38" xfId="0" applyNumberFormat="1" applyFont="1" applyFill="1" applyBorder="1" applyAlignment="1" applyProtection="1">
      <alignment/>
      <protection locked="0"/>
    </xf>
    <xf numFmtId="0" fontId="20" fillId="36" borderId="0" xfId="0" applyFont="1" applyFill="1" applyAlignment="1">
      <alignment horizontal="center"/>
    </xf>
    <xf numFmtId="0" fontId="2" fillId="35" borderId="19"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29" fillId="36" borderId="0" xfId="0" applyFont="1" applyFill="1" applyAlignment="1">
      <alignment horizontal="center"/>
    </xf>
    <xf numFmtId="0" fontId="9" fillId="39" borderId="23" xfId="0" applyFont="1" applyFill="1" applyBorder="1" applyAlignment="1" applyProtection="1">
      <alignment horizontal="center"/>
      <protection/>
    </xf>
    <xf numFmtId="0" fontId="0" fillId="39" borderId="23" xfId="0"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14</xdr:row>
      <xdr:rowOff>0</xdr:rowOff>
    </xdr:from>
    <xdr:to>
      <xdr:col>13</xdr:col>
      <xdr:colOff>9525</xdr:colOff>
      <xdr:row>15</xdr:row>
      <xdr:rowOff>0</xdr:rowOff>
    </xdr:to>
    <xdr:pic>
      <xdr:nvPicPr>
        <xdr:cNvPr id="1" name="Picture 6"/>
        <xdr:cNvPicPr preferRelativeResize="1">
          <a:picLocks noChangeAspect="1"/>
        </xdr:cNvPicPr>
      </xdr:nvPicPr>
      <xdr:blipFill>
        <a:blip r:embed="rId1"/>
        <a:stretch>
          <a:fillRect/>
        </a:stretch>
      </xdr:blipFill>
      <xdr:spPr>
        <a:xfrm>
          <a:off x="6838950" y="3267075"/>
          <a:ext cx="6953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 Id="rId4"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xml" /><Relationship Id="rId4" Type="http://schemas.openxmlformats.org/officeDocument/2006/relationships/printerSettings" Target="../printerSettings/printerSettings11.bin" /><Relationship Id="rId5"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 Id="rId4"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 Id="rId4"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 Id="rId4"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customProperty" Target="../customProperty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 Id="rId4"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 Id="rId4"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 Id="rId4"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Sheet12"/>
  <dimension ref="D2:F2"/>
  <sheetViews>
    <sheetView showRowColHeaders="0" tabSelected="1" zoomScalePageLayoutView="0" workbookViewId="0" topLeftCell="A1">
      <selection activeCell="H17" sqref="H17"/>
    </sheetView>
  </sheetViews>
  <sheetFormatPr defaultColWidth="9.00390625" defaultRowHeight="15.75"/>
  <cols>
    <col min="1" max="16384" width="9.00390625" style="29" customWidth="1"/>
  </cols>
  <sheetData>
    <row r="2" spans="4:6" ht="33">
      <c r="D2" s="287" t="s">
        <v>43</v>
      </c>
      <c r="E2" s="287"/>
      <c r="F2" s="287"/>
    </row>
  </sheetData>
  <sheetProtection password="D5B5" sheet="1" objects="1" scenarios="1" selectLockedCells="1"/>
  <mergeCells count="1">
    <mergeCell ref="D2:F2"/>
  </mergeCells>
  <printOptions/>
  <pageMargins left="0.75" right="0.75" top="1" bottom="1" header="0.5" footer="0.5"/>
  <pageSetup horizontalDpi="600" verticalDpi="600" orientation="portrait" r:id="rId2"/>
  <customProperties>
    <customPr name="DVSECTIONID" r:id="rId3"/>
  </customProperties>
  <legacyDrawing r:id="rId1"/>
</worksheet>
</file>

<file path=xl/worksheets/sheet10.xml><?xml version="1.0" encoding="utf-8"?>
<worksheet xmlns="http://schemas.openxmlformats.org/spreadsheetml/2006/main" xmlns:r="http://schemas.openxmlformats.org/officeDocument/2006/relationships">
  <sheetPr codeName="Sheet6"/>
  <dimension ref="A2:M25"/>
  <sheetViews>
    <sheetView showGridLines="0" showRowColHeaders="0" zoomScalePageLayoutView="0" workbookViewId="0" topLeftCell="A2">
      <selection activeCell="E8" sqref="E8"/>
    </sheetView>
  </sheetViews>
  <sheetFormatPr defaultColWidth="9.00390625" defaultRowHeight="15.75"/>
  <cols>
    <col min="1" max="1" width="5.875" style="29" customWidth="1"/>
    <col min="2" max="2" width="9.875" style="29" bestFit="1" customWidth="1"/>
    <col min="3" max="7" width="9.00390625" style="29" customWidth="1"/>
    <col min="8" max="8" width="9.625" style="29" customWidth="1"/>
    <col min="9" max="9" width="9.00390625" style="29" customWidth="1"/>
    <col min="10" max="10" width="2.625" style="29" customWidth="1"/>
    <col min="11" max="16384" width="9.00390625" style="29" customWidth="1"/>
  </cols>
  <sheetData>
    <row r="1" ht="21.75" customHeight="1"/>
    <row r="2" spans="1:9" ht="35.25">
      <c r="A2" s="116"/>
      <c r="B2" s="116"/>
      <c r="C2" s="184" t="s">
        <v>120</v>
      </c>
      <c r="E2" s="116"/>
      <c r="F2" s="117"/>
      <c r="G2" s="117"/>
      <c r="H2" s="117"/>
      <c r="I2" s="117"/>
    </row>
    <row r="3" ht="9" customHeight="1"/>
    <row r="4" spans="1:2" s="118" customFormat="1" ht="30.75">
      <c r="A4" s="127"/>
      <c r="B4" s="183" t="s">
        <v>119</v>
      </c>
    </row>
    <row r="5" spans="1:13" s="118" customFormat="1" ht="16.5" thickBot="1">
      <c r="A5" s="29"/>
      <c r="B5" s="29"/>
      <c r="C5" s="29"/>
      <c r="D5" s="29"/>
      <c r="E5" s="29"/>
      <c r="F5" s="29"/>
      <c r="G5" s="30"/>
      <c r="H5" s="29"/>
      <c r="I5" s="29"/>
      <c r="J5" s="29"/>
      <c r="K5" s="29"/>
      <c r="L5" s="29"/>
      <c r="M5" s="29"/>
    </row>
    <row r="6" spans="1:13" s="118" customFormat="1" ht="20.25">
      <c r="A6" s="29"/>
      <c r="B6" s="166" t="s">
        <v>116</v>
      </c>
      <c r="C6" s="18"/>
      <c r="D6" s="18"/>
      <c r="E6" s="18"/>
      <c r="F6" s="18"/>
      <c r="G6" s="18"/>
      <c r="H6" s="18"/>
      <c r="I6" s="18"/>
      <c r="J6" s="169"/>
      <c r="K6" s="29"/>
      <c r="L6" s="29"/>
      <c r="M6" s="29"/>
    </row>
    <row r="7" spans="2:10" ht="15.75">
      <c r="B7" s="20"/>
      <c r="C7" s="10"/>
      <c r="D7" s="10"/>
      <c r="E7" s="10"/>
      <c r="F7" s="10"/>
      <c r="G7" s="10"/>
      <c r="H7" s="10"/>
      <c r="I7" s="168">
        <f>SQRT((E11-1)*(1+E10))</f>
        <v>6.708203932499369</v>
      </c>
      <c r="J7" s="170"/>
    </row>
    <row r="8" spans="2:10" ht="15.75">
      <c r="B8" s="113" t="s">
        <v>74</v>
      </c>
      <c r="C8" s="10"/>
      <c r="D8" s="10"/>
      <c r="E8" s="172">
        <v>0.4</v>
      </c>
      <c r="F8" s="10"/>
      <c r="G8" s="10"/>
      <c r="H8" s="28" t="s">
        <v>1</v>
      </c>
      <c r="I8" s="168">
        <f>2*(E11-1)/(E11-3)</f>
        <v>2.1739130434782608</v>
      </c>
      <c r="J8" s="170"/>
    </row>
    <row r="9" spans="2:10" ht="15.75">
      <c r="B9" s="113" t="s">
        <v>75</v>
      </c>
      <c r="C9" s="10"/>
      <c r="D9" s="10"/>
      <c r="E9" s="172">
        <v>0.72</v>
      </c>
      <c r="F9" s="10"/>
      <c r="G9" s="147" t="s">
        <v>103</v>
      </c>
      <c r="H9" s="115">
        <f>(E8-E9)*I7/SQRT(I8*I9+I10)</f>
        <v>-3.8426199159450087</v>
      </c>
      <c r="I9" s="168">
        <f>1-E8*E8-E9*E9-E10*E10+2*E8*E9*E10</f>
        <v>0.14239999999999986</v>
      </c>
      <c r="J9" s="170"/>
    </row>
    <row r="10" spans="2:10" ht="15.75">
      <c r="B10" s="113" t="s">
        <v>76</v>
      </c>
      <c r="C10" s="10"/>
      <c r="D10" s="10"/>
      <c r="E10" s="172">
        <v>0.8</v>
      </c>
      <c r="F10" s="10"/>
      <c r="G10" s="10"/>
      <c r="H10" s="10"/>
      <c r="I10" s="168">
        <f>((E8+E9)/2)^2*(1-E10)^3</f>
        <v>0.002508799999999999</v>
      </c>
      <c r="J10" s="170"/>
    </row>
    <row r="11" spans="2:10" ht="15.75">
      <c r="B11" s="113" t="s">
        <v>66</v>
      </c>
      <c r="C11" s="10"/>
      <c r="D11" s="10"/>
      <c r="E11" s="173">
        <v>26</v>
      </c>
      <c r="F11" s="10"/>
      <c r="G11" s="147" t="s">
        <v>104</v>
      </c>
      <c r="H11" s="115" t="e">
        <f>MIN(2*H12,2*I12)</f>
        <v>#NAME?</v>
      </c>
      <c r="I11" s="10"/>
      <c r="J11" s="170"/>
    </row>
    <row r="12" spans="2:11" ht="15.75">
      <c r="B12" s="20"/>
      <c r="C12" s="10"/>
      <c r="D12" s="10"/>
      <c r="E12" s="10"/>
      <c r="F12" s="10"/>
      <c r="G12" s="147" t="s">
        <v>105</v>
      </c>
      <c r="H12" s="115" t="e">
        <f>1-_xlfn.T.DIST(H9,E11-3,TRUE)</f>
        <v>#NAME?</v>
      </c>
      <c r="I12" s="165" t="e">
        <f>1-H12</f>
        <v>#NAME?</v>
      </c>
      <c r="J12" s="170"/>
      <c r="K12" s="30"/>
    </row>
    <row r="13" spans="2:10" ht="16.5" thickBot="1">
      <c r="B13" s="21" t="s">
        <v>67</v>
      </c>
      <c r="C13" s="22" t="s">
        <v>17</v>
      </c>
      <c r="D13" s="22"/>
      <c r="E13" s="22"/>
      <c r="F13" s="22"/>
      <c r="G13" s="22"/>
      <c r="H13" s="22"/>
      <c r="I13" s="22"/>
      <c r="J13" s="171"/>
    </row>
    <row r="14" spans="7:8" ht="16.5" thickBot="1">
      <c r="G14" s="30"/>
      <c r="H14" s="30"/>
    </row>
    <row r="15" spans="2:10" ht="20.25">
      <c r="B15" s="182" t="s">
        <v>118</v>
      </c>
      <c r="C15" s="120"/>
      <c r="D15" s="120"/>
      <c r="E15" s="120"/>
      <c r="F15" s="120"/>
      <c r="G15" s="120"/>
      <c r="H15" s="120"/>
      <c r="I15" s="175">
        <f>(E17-E21*E19)*(E22-E21*E20)</f>
        <v>0.1569645</v>
      </c>
      <c r="J15" s="176" t="s">
        <v>117</v>
      </c>
    </row>
    <row r="16" spans="2:10" ht="15.75">
      <c r="B16" s="121"/>
      <c r="C16" s="122"/>
      <c r="D16" s="122"/>
      <c r="E16" s="122"/>
      <c r="F16" s="122"/>
      <c r="G16" s="122"/>
      <c r="H16" s="122"/>
      <c r="I16" s="174">
        <f>(E18-E17*E20)*(E21-E17*E19)</f>
        <v>0.0580325</v>
      </c>
      <c r="J16" s="177" t="s">
        <v>117</v>
      </c>
    </row>
    <row r="17" spans="2:10" ht="15.75">
      <c r="B17" s="113" t="s">
        <v>74</v>
      </c>
      <c r="C17" s="123"/>
      <c r="D17" s="123"/>
      <c r="E17" s="179">
        <v>0.45</v>
      </c>
      <c r="F17" s="123"/>
      <c r="G17" s="123"/>
      <c r="H17" s="136" t="s">
        <v>1</v>
      </c>
      <c r="I17" s="174">
        <f>(E17-E18*E20)*(E22-E18*E19)</f>
        <v>0.11068050000000001</v>
      </c>
      <c r="J17" s="177" t="s">
        <v>117</v>
      </c>
    </row>
    <row r="18" spans="2:10" ht="15.75">
      <c r="B18" s="113" t="s">
        <v>75</v>
      </c>
      <c r="C18" s="123"/>
      <c r="D18" s="123"/>
      <c r="E18" s="179">
        <v>0.53</v>
      </c>
      <c r="F18" s="123"/>
      <c r="G18" s="147" t="s">
        <v>102</v>
      </c>
      <c r="H18" s="128">
        <f>SQRT((E23-3)/2)*(I19-I20)/I23</f>
        <v>2.86917382384003</v>
      </c>
      <c r="I18" s="174">
        <f>(E18-E19*E22)*(E21-E22*E20)</f>
        <v>0.0553725</v>
      </c>
      <c r="J18" s="177" t="s">
        <v>117</v>
      </c>
    </row>
    <row r="19" spans="2:10" ht="15.75">
      <c r="B19" s="113" t="s">
        <v>77</v>
      </c>
      <c r="C19" s="123"/>
      <c r="D19" s="123"/>
      <c r="E19" s="179">
        <v>0.38</v>
      </c>
      <c r="F19" s="123"/>
      <c r="G19" s="123"/>
      <c r="H19" s="123"/>
      <c r="I19" s="174">
        <f>0.5*LN((1+E19)/(1-E19))</f>
        <v>0.40005965005605654</v>
      </c>
      <c r="J19" s="177" t="s">
        <v>117</v>
      </c>
    </row>
    <row r="20" spans="2:10" ht="15.75">
      <c r="B20" s="113" t="s">
        <v>76</v>
      </c>
      <c r="C20" s="123"/>
      <c r="D20" s="123"/>
      <c r="E20" s="179">
        <v>0.25</v>
      </c>
      <c r="F20" s="123"/>
      <c r="G20" s="147" t="s">
        <v>106</v>
      </c>
      <c r="H20" s="128" t="e">
        <f>MIN(2*H21,2*I21)</f>
        <v>#NAME?</v>
      </c>
      <c r="I20" s="174">
        <f>0.5*LN((1+E20)/(1-E20))</f>
        <v>0.25541281188299536</v>
      </c>
      <c r="J20" s="177" t="s">
        <v>117</v>
      </c>
    </row>
    <row r="21" spans="2:10" ht="15.75">
      <c r="B21" s="113" t="s">
        <v>78</v>
      </c>
      <c r="C21" s="123"/>
      <c r="D21" s="123"/>
      <c r="E21" s="179">
        <v>0.31</v>
      </c>
      <c r="F21" s="123"/>
      <c r="G21" s="147" t="s">
        <v>105</v>
      </c>
      <c r="H21" s="128" t="e">
        <f>1-_xlfn.T.DIST(H18,E23-3,TRUE)</f>
        <v>#NAME?</v>
      </c>
      <c r="I21" s="165" t="e">
        <f>1-H21</f>
        <v>#NAME?</v>
      </c>
      <c r="J21" s="177" t="s">
        <v>117</v>
      </c>
    </row>
    <row r="22" spans="2:10" ht="15.75">
      <c r="B22" s="113" t="s">
        <v>79</v>
      </c>
      <c r="C22" s="123"/>
      <c r="D22" s="123"/>
      <c r="E22" s="179">
        <v>0.55</v>
      </c>
      <c r="F22" s="123"/>
      <c r="G22" s="123"/>
      <c r="H22" s="123"/>
      <c r="I22" s="174">
        <f>2*(1-E19*E19)*(1-E20*E20)</f>
        <v>1.60425</v>
      </c>
      <c r="J22" s="177" t="s">
        <v>117</v>
      </c>
    </row>
    <row r="23" spans="2:10" ht="15.75">
      <c r="B23" s="113" t="s">
        <v>66</v>
      </c>
      <c r="C23" s="123"/>
      <c r="D23" s="123"/>
      <c r="E23" s="180">
        <v>603</v>
      </c>
      <c r="F23" s="123"/>
      <c r="G23" s="123"/>
      <c r="H23" s="123"/>
      <c r="I23" s="174">
        <f>SQRT(1-(I15+I16+I17+I18)/I22)</f>
        <v>0.873197959594601</v>
      </c>
      <c r="J23" s="177"/>
    </row>
    <row r="24" spans="2:10" ht="15.75">
      <c r="B24" s="124"/>
      <c r="C24" s="123"/>
      <c r="D24" s="123"/>
      <c r="E24" s="123"/>
      <c r="F24" s="123"/>
      <c r="G24" s="123"/>
      <c r="H24" s="123"/>
      <c r="I24" s="123"/>
      <c r="J24" s="177"/>
    </row>
    <row r="25" spans="2:10" ht="16.5" thickBot="1">
      <c r="B25" s="125" t="s">
        <v>67</v>
      </c>
      <c r="C25" s="126" t="s">
        <v>17</v>
      </c>
      <c r="D25" s="126"/>
      <c r="E25" s="126"/>
      <c r="F25" s="126"/>
      <c r="G25" s="126"/>
      <c r="H25" s="126"/>
      <c r="I25" s="126"/>
      <c r="J25" s="178"/>
    </row>
    <row r="26" ht="15.75"/>
    <row r="27" ht="15.75"/>
    <row r="29" ht="15.75"/>
  </sheetData>
  <sheetProtection password="F47C" sheet="1" objects="1" scenarios="1" selectLockedCells="1"/>
  <printOptions/>
  <pageMargins left="0.75" right="0.75" top="1" bottom="1" header="0.5" footer="0.5"/>
  <pageSetup horizontalDpi="300" verticalDpi="300" orientation="portrait" r:id="rId3"/>
  <headerFooter alignWithMargins="0">
    <oddHeader>&amp;C&amp;A</oddHeader>
    <oddFooter>&amp;CPage &amp;P</oddFooter>
  </headerFooter>
  <customProperties>
    <customPr name="DVSECTIONID" r:id="rId4"/>
  </customProperties>
  <legacyDrawing r:id="rId2"/>
</worksheet>
</file>

<file path=xl/worksheets/sheet11.xml><?xml version="1.0" encoding="utf-8"?>
<worksheet xmlns="http://schemas.openxmlformats.org/spreadsheetml/2006/main" xmlns:r="http://schemas.openxmlformats.org/officeDocument/2006/relationships">
  <sheetPr codeName="Sheet7"/>
  <dimension ref="B2:J26"/>
  <sheetViews>
    <sheetView showGridLines="0" showRowColHeaders="0" zoomScalePageLayoutView="0" workbookViewId="0" topLeftCell="A1">
      <selection activeCell="F8" sqref="F8"/>
    </sheetView>
  </sheetViews>
  <sheetFormatPr defaultColWidth="9.00390625" defaultRowHeight="15.75"/>
  <cols>
    <col min="1" max="2" width="4.875" style="29" customWidth="1"/>
    <col min="3" max="5" width="9.00390625" style="29" customWidth="1"/>
    <col min="6" max="6" width="8.625" style="29" customWidth="1"/>
    <col min="7" max="7" width="3.875" style="29" customWidth="1"/>
    <col min="8" max="8" width="4.50390625" style="29" customWidth="1"/>
    <col min="9" max="16384" width="9.00390625" style="29" customWidth="1"/>
  </cols>
  <sheetData>
    <row r="1" ht="9" customHeight="1"/>
    <row r="2" spans="3:8" ht="20.25">
      <c r="C2" s="133"/>
      <c r="E2" s="133"/>
      <c r="F2" s="133"/>
      <c r="G2" s="133"/>
      <c r="H2" s="133"/>
    </row>
    <row r="3" ht="25.5">
      <c r="D3" s="139" t="s">
        <v>125</v>
      </c>
    </row>
    <row r="4" spans="3:9" ht="21" thickBot="1">
      <c r="C4" s="134"/>
      <c r="D4" s="134"/>
      <c r="E4" s="134"/>
      <c r="F4" s="134"/>
      <c r="G4" s="134"/>
      <c r="H4" s="134"/>
      <c r="I4" s="134"/>
    </row>
    <row r="5" spans="2:9" ht="21" thickBot="1">
      <c r="B5" s="17"/>
      <c r="C5" s="18"/>
      <c r="D5" s="18"/>
      <c r="E5" s="18"/>
      <c r="F5" s="272"/>
      <c r="G5" s="19"/>
      <c r="I5" s="146" t="s">
        <v>18</v>
      </c>
    </row>
    <row r="6" spans="2:7" ht="19.5" thickBot="1">
      <c r="B6" s="20"/>
      <c r="C6" s="201" t="s">
        <v>128</v>
      </c>
      <c r="D6" s="10"/>
      <c r="E6" s="200" t="s">
        <v>129</v>
      </c>
      <c r="F6" s="6">
        <v>0.04</v>
      </c>
      <c r="G6" s="8"/>
    </row>
    <row r="7" spans="2:9" ht="21" thickBot="1">
      <c r="B7" s="20"/>
      <c r="C7" s="202" t="s">
        <v>127</v>
      </c>
      <c r="D7" s="10"/>
      <c r="E7" s="10"/>
      <c r="F7" s="7"/>
      <c r="G7" s="8"/>
      <c r="I7" s="146" t="s">
        <v>19</v>
      </c>
    </row>
    <row r="8" spans="2:7" ht="16.5" thickBot="1">
      <c r="B8" s="20"/>
      <c r="C8" s="167"/>
      <c r="D8" s="10"/>
      <c r="E8" s="198" t="s">
        <v>130</v>
      </c>
      <c r="F8" s="138">
        <v>0.95</v>
      </c>
      <c r="G8" s="8"/>
    </row>
    <row r="9" spans="2:9" ht="16.5" thickBot="1">
      <c r="B9" s="20"/>
      <c r="C9" s="202" t="s">
        <v>85</v>
      </c>
      <c r="D9" s="10"/>
      <c r="E9" s="10"/>
      <c r="F9" s="197">
        <f>NORMSINV(1-(1-F8)/2)</f>
        <v>1.959963984540054</v>
      </c>
      <c r="G9" s="8"/>
      <c r="I9" s="186"/>
    </row>
    <row r="10" spans="2:7" ht="16.5" thickBot="1">
      <c r="B10" s="20"/>
      <c r="C10" s="199"/>
      <c r="D10" s="10"/>
      <c r="E10" s="198" t="s">
        <v>131</v>
      </c>
      <c r="F10" s="6">
        <v>20</v>
      </c>
      <c r="G10" s="8"/>
    </row>
    <row r="11" spans="2:7" ht="16.5" thickBot="1">
      <c r="B11" s="21"/>
      <c r="C11" s="137"/>
      <c r="D11" s="22"/>
      <c r="E11" s="22"/>
      <c r="F11" s="60"/>
      <c r="G11" s="23"/>
    </row>
    <row r="12" spans="3:6" ht="16.5" thickBot="1">
      <c r="C12" s="119"/>
      <c r="F12" s="43"/>
    </row>
    <row r="13" spans="2:9" ht="16.5" thickBot="1">
      <c r="B13" s="194">
        <f>((F9*F9)/(2*F10))</f>
        <v>0.09603647051735313</v>
      </c>
      <c r="C13" s="195">
        <f>F9*SQRT(((F6*(1-F6))/F10)+B13/(2*F10))</f>
        <v>0.1288355719712656</v>
      </c>
      <c r="D13" s="195">
        <f>1+(2*B13)</f>
        <v>1.1920729410347062</v>
      </c>
      <c r="E13" s="18"/>
      <c r="F13" s="18"/>
      <c r="G13" s="19"/>
      <c r="H13" s="135" t="s">
        <v>20</v>
      </c>
      <c r="I13" s="135"/>
    </row>
    <row r="14" spans="2:10" ht="21" thickBot="1">
      <c r="B14" s="191"/>
      <c r="C14" s="203" t="s">
        <v>1</v>
      </c>
      <c r="D14" s="192"/>
      <c r="E14" s="188" t="s">
        <v>83</v>
      </c>
      <c r="F14" s="190">
        <f>(F6+B13-C13)/D13</f>
        <v>0.006040652629726851</v>
      </c>
      <c r="G14" s="8"/>
      <c r="H14" s="135">
        <f>+(2*F10*F6)+F9*F9-1</f>
        <v>4.441458820694125</v>
      </c>
      <c r="I14" s="135">
        <f>+(2*F10*F6)+F9*F9+1</f>
        <v>6.441458820694125</v>
      </c>
      <c r="J14" s="129"/>
    </row>
    <row r="15" spans="2:9" ht="16.5" thickBot="1">
      <c r="B15" s="145"/>
      <c r="C15" s="10"/>
      <c r="D15" s="189">
        <f>IF(+(H14-F9*SQRT(H15))/H16&gt;0,(H14-F9*SQRT(H15))/H16,0)</f>
        <v>0</v>
      </c>
      <c r="E15" s="10"/>
      <c r="F15" s="114"/>
      <c r="G15" s="8"/>
      <c r="H15" s="135">
        <f>+(F9*F9)-(2+(1/F10))+(4*F6*(F10*(1-F6))+1)</f>
        <v>5.863458820694126</v>
      </c>
      <c r="I15" s="135">
        <f>+(F9*F9)+(2-(1/F10))+(4*F6*(F10*(1-F6))-1)</f>
        <v>7.863458820694126</v>
      </c>
    </row>
    <row r="16" spans="2:9" ht="16.5" thickBot="1">
      <c r="B16" s="20" t="s">
        <v>82</v>
      </c>
      <c r="C16" s="10"/>
      <c r="D16" s="192"/>
      <c r="E16" s="188" t="s">
        <v>84</v>
      </c>
      <c r="F16" s="190">
        <f>(F6+B13+C13)/D13</f>
        <v>0.22219449277886696</v>
      </c>
      <c r="G16" s="8"/>
      <c r="H16" s="135">
        <f>2*(F10+(F9*F9))</f>
        <v>47.68291764138825</v>
      </c>
      <c r="I16" s="135">
        <f>2*(F10+(F9*F9))</f>
        <v>47.68291764138825</v>
      </c>
    </row>
    <row r="17" spans="2:7" ht="16.5" thickBot="1">
      <c r="B17" s="21"/>
      <c r="C17" s="22"/>
      <c r="D17" s="193">
        <f>IF((I14+F9*SQRT(I15))/I16&lt;1,(I14+F9*SQRT(I15))/I16,1)</f>
        <v>0.2503530167956397</v>
      </c>
      <c r="E17" s="22"/>
      <c r="F17" s="22"/>
      <c r="G17" s="23"/>
    </row>
    <row r="23" ht="15.75">
      <c r="I23" s="135"/>
    </row>
    <row r="24" ht="15.75">
      <c r="I24" s="135">
        <f>+(2*F10*F6)+F9^2+1</f>
        <v>6.441458820694125</v>
      </c>
    </row>
    <row r="25" ht="15.75">
      <c r="I25" s="135">
        <f>+(F9^2)+(2-(1/F10))+(4*F6*(F10*(1-F6))-1)</f>
        <v>7.863458820694126</v>
      </c>
    </row>
    <row r="26" ht="15.75">
      <c r="I26" s="135">
        <f>2*(F10+F9^2)</f>
        <v>47.68291764138825</v>
      </c>
    </row>
  </sheetData>
  <sheetProtection password="918B" sheet="1" objects="1" scenarios="1" selectLockedCells="1"/>
  <printOptions/>
  <pageMargins left="0.75" right="0.75" top="1" bottom="1" header="0.5" footer="0.5"/>
  <pageSetup horizontalDpi="600" verticalDpi="600" orientation="portrait" r:id="rId4"/>
  <headerFooter alignWithMargins="0">
    <oddHeader>&amp;C&amp;A</oddHeader>
    <oddFooter>&amp;CPage &amp;P</oddFooter>
  </headerFooter>
  <customProperties>
    <customPr name="DVSECTIONID" r:id="rId5"/>
  </customProperties>
  <drawing r:id="rId3"/>
  <legacyDrawing r:id="rId2"/>
</worksheet>
</file>

<file path=xl/worksheets/sheet12.xml><?xml version="1.0" encoding="utf-8"?>
<worksheet xmlns="http://schemas.openxmlformats.org/spreadsheetml/2006/main" xmlns:r="http://schemas.openxmlformats.org/officeDocument/2006/relationships">
  <sheetPr codeName="Sheet10"/>
  <dimension ref="B4:J16"/>
  <sheetViews>
    <sheetView showRowColHeaders="0" zoomScalePageLayoutView="0" workbookViewId="0" topLeftCell="A1">
      <selection activeCell="C11" sqref="C11"/>
    </sheetView>
  </sheetViews>
  <sheetFormatPr defaultColWidth="9.00390625" defaultRowHeight="15.75"/>
  <cols>
    <col min="1" max="1" width="5.375" style="29" customWidth="1"/>
    <col min="2" max="2" width="4.50390625" style="29" customWidth="1"/>
    <col min="3" max="3" width="9.00390625" style="29" customWidth="1"/>
    <col min="4" max="4" width="2.25390625" style="29" customWidth="1"/>
    <col min="5" max="5" width="8.375" style="29" customWidth="1"/>
    <col min="6" max="16384" width="9.00390625" style="29" customWidth="1"/>
  </cols>
  <sheetData>
    <row r="1" ht="15.75"/>
    <row r="2" ht="15.75"/>
    <row r="3" ht="15.75"/>
    <row r="4" ht="23.25">
      <c r="D4" s="109" t="s">
        <v>36</v>
      </c>
    </row>
    <row r="5" ht="21" thickBot="1">
      <c r="D5" s="131"/>
    </row>
    <row r="6" spans="2:10" ht="16.5" thickBot="1">
      <c r="B6" s="17"/>
      <c r="C6" s="18"/>
      <c r="D6" s="18"/>
      <c r="E6" s="18"/>
      <c r="F6" s="18"/>
      <c r="G6" s="18"/>
      <c r="H6" s="18"/>
      <c r="I6" s="18"/>
      <c r="J6" s="19"/>
    </row>
    <row r="7" spans="2:10" ht="15.75">
      <c r="B7" s="20"/>
      <c r="C7" s="24">
        <v>41</v>
      </c>
      <c r="D7" s="7"/>
      <c r="E7" s="10" t="s">
        <v>35</v>
      </c>
      <c r="F7" s="10"/>
      <c r="G7" s="10"/>
      <c r="H7" s="10"/>
      <c r="I7" s="10"/>
      <c r="J7" s="8"/>
    </row>
    <row r="8" spans="2:10" ht="15.75">
      <c r="B8" s="20"/>
      <c r="C8" s="25">
        <v>5</v>
      </c>
      <c r="D8" s="7"/>
      <c r="E8" s="10" t="s">
        <v>37</v>
      </c>
      <c r="F8" s="10"/>
      <c r="G8" s="10"/>
      <c r="H8" s="10"/>
      <c r="I8" s="10"/>
      <c r="J8" s="8"/>
    </row>
    <row r="9" spans="2:10" ht="15.75">
      <c r="B9" s="20"/>
      <c r="C9" s="25">
        <v>16</v>
      </c>
      <c r="D9" s="7"/>
      <c r="E9" s="10" t="s">
        <v>38</v>
      </c>
      <c r="F9" s="10"/>
      <c r="G9" s="10"/>
      <c r="H9" s="10"/>
      <c r="I9" s="10"/>
      <c r="J9" s="8"/>
    </row>
    <row r="10" spans="2:10" ht="15.75">
      <c r="B10" s="20"/>
      <c r="C10" s="204">
        <v>30000</v>
      </c>
      <c r="D10" s="7"/>
      <c r="E10" s="10" t="s">
        <v>39</v>
      </c>
      <c r="F10" s="10"/>
      <c r="G10" s="10"/>
      <c r="H10" s="10"/>
      <c r="I10" s="10"/>
      <c r="J10" s="8"/>
    </row>
    <row r="11" spans="2:10" ht="16.5" thickBot="1">
      <c r="B11" s="20"/>
      <c r="C11" s="205">
        <v>60000</v>
      </c>
      <c r="D11" s="7"/>
      <c r="E11" s="10" t="s">
        <v>40</v>
      </c>
      <c r="F11" s="10"/>
      <c r="G11" s="10"/>
      <c r="H11" s="10"/>
      <c r="I11" s="10"/>
      <c r="J11" s="8"/>
    </row>
    <row r="12" spans="2:10" ht="16.5" thickBot="1">
      <c r="B12" s="20"/>
      <c r="C12" s="10"/>
      <c r="D12" s="10"/>
      <c r="E12" s="10"/>
      <c r="F12" s="10"/>
      <c r="G12" s="10"/>
      <c r="H12" s="10"/>
      <c r="I12" s="10"/>
      <c r="J12" s="8"/>
    </row>
    <row r="13" spans="2:10" ht="16.5" thickBot="1">
      <c r="B13" s="20"/>
      <c r="C13" s="206">
        <f>C10+(C11-C10)*((C7/2)-C8)/C9</f>
        <v>59062.5</v>
      </c>
      <c r="D13" s="10"/>
      <c r="E13" s="147" t="s">
        <v>132</v>
      </c>
      <c r="F13" s="10"/>
      <c r="G13" s="10"/>
      <c r="H13" s="10"/>
      <c r="I13" s="10"/>
      <c r="J13" s="8"/>
    </row>
    <row r="14" spans="2:10" ht="15.75">
      <c r="B14" s="20"/>
      <c r="C14" s="10"/>
      <c r="D14" s="10"/>
      <c r="E14" s="10"/>
      <c r="F14" s="10"/>
      <c r="G14" s="10"/>
      <c r="H14" s="10"/>
      <c r="I14" s="10"/>
      <c r="J14" s="8"/>
    </row>
    <row r="15" spans="2:10" ht="15.75">
      <c r="B15" s="20"/>
      <c r="C15" s="147" t="s">
        <v>133</v>
      </c>
      <c r="D15" s="10"/>
      <c r="E15" s="147" t="s">
        <v>134</v>
      </c>
      <c r="F15" s="10"/>
      <c r="G15" s="147" t="s">
        <v>19</v>
      </c>
      <c r="H15" s="10"/>
      <c r="I15" s="147" t="s">
        <v>117</v>
      </c>
      <c r="J15" s="8"/>
    </row>
    <row r="16" spans="2:10" ht="16.5" thickBot="1">
      <c r="B16" s="21"/>
      <c r="C16" s="22"/>
      <c r="D16" s="22"/>
      <c r="E16" s="22"/>
      <c r="F16" s="22"/>
      <c r="G16" s="22"/>
      <c r="H16" s="22"/>
      <c r="I16" s="22"/>
      <c r="J16" s="23"/>
    </row>
    <row r="17" ht="15.75"/>
    <row r="18" ht="15.75"/>
    <row r="19" ht="15.75"/>
    <row r="20" ht="15.75"/>
    <row r="21" ht="15.75"/>
    <row r="22" ht="15.75"/>
    <row r="23" ht="15.75"/>
    <row r="24" ht="15.75"/>
    <row r="25" ht="15.75"/>
    <row r="26" ht="15.75"/>
    <row r="27" ht="15.75"/>
    <row r="28" ht="15.75"/>
    <row r="30" ht="15.75"/>
  </sheetData>
  <sheetProtection password="837B" sheet="1" objects="1" scenarios="1" selectLockedCells="1"/>
  <printOptions/>
  <pageMargins left="0.75" right="0.75" top="1" bottom="1" header="0.5" footer="0.5"/>
  <pageSetup horizontalDpi="300" verticalDpi="300" orientation="portrait" r:id="rId3"/>
  <customProperties>
    <customPr name="DVSECTIONID" r:id="rId4"/>
  </customProperties>
  <legacyDrawing r:id="rId2"/>
</worksheet>
</file>

<file path=xl/worksheets/sheet13.xml><?xml version="1.0" encoding="utf-8"?>
<worksheet xmlns="http://schemas.openxmlformats.org/spreadsheetml/2006/main" xmlns:r="http://schemas.openxmlformats.org/officeDocument/2006/relationships">
  <sheetPr codeName="Sheet8"/>
  <dimension ref="B4:L17"/>
  <sheetViews>
    <sheetView showRowColHeaders="0" zoomScalePageLayoutView="0" workbookViewId="0" topLeftCell="A1">
      <selection activeCell="E10" sqref="E10"/>
    </sheetView>
  </sheetViews>
  <sheetFormatPr defaultColWidth="9.00390625" defaultRowHeight="15.75"/>
  <cols>
    <col min="1" max="1" width="4.125" style="29" customWidth="1"/>
    <col min="2" max="2" width="9.00390625" style="29" customWidth="1"/>
    <col min="3" max="4" width="10.625" style="29" customWidth="1"/>
    <col min="5" max="5" width="10.625" style="107" customWidth="1"/>
    <col min="6" max="6" width="10.625" style="29" customWidth="1"/>
    <col min="7" max="7" width="2.625" style="29" customWidth="1"/>
    <col min="8" max="16384" width="9.00390625" style="29" customWidth="1"/>
  </cols>
  <sheetData>
    <row r="1" ht="15.75"/>
    <row r="2" ht="15.75"/>
    <row r="3" ht="15.75"/>
    <row r="4" spans="2:6" ht="33">
      <c r="B4" s="219" t="s">
        <v>21</v>
      </c>
      <c r="E4" s="29"/>
      <c r="F4" s="107"/>
    </row>
    <row r="5" spans="5:6" ht="16.5" thickBot="1">
      <c r="E5" s="29"/>
      <c r="F5" s="107"/>
    </row>
    <row r="6" spans="2:10" s="108" customFormat="1" ht="36" thickBot="1">
      <c r="B6" s="31"/>
      <c r="C6" s="220" t="s">
        <v>137</v>
      </c>
      <c r="D6" s="220" t="s">
        <v>138</v>
      </c>
      <c r="E6" s="221" t="s">
        <v>22</v>
      </c>
      <c r="F6" s="222" t="s">
        <v>23</v>
      </c>
      <c r="G6" s="32"/>
      <c r="H6" s="32"/>
      <c r="I6" s="32"/>
      <c r="J6" s="33"/>
    </row>
    <row r="7" spans="2:10" ht="20.25">
      <c r="B7" s="20"/>
      <c r="C7" s="208">
        <v>1</v>
      </c>
      <c r="D7" s="209">
        <v>0.1</v>
      </c>
      <c r="E7" s="210">
        <v>1000000</v>
      </c>
      <c r="F7" s="229">
        <f>+(E7*C7)/(C7+((E7-1)*D7*D7))</f>
        <v>99.99010098000296</v>
      </c>
      <c r="G7" s="10"/>
      <c r="H7" s="10"/>
      <c r="I7" s="10"/>
      <c r="J7" s="8"/>
    </row>
    <row r="8" spans="2:12" ht="20.25">
      <c r="B8" s="20"/>
      <c r="C8" s="211">
        <v>1</v>
      </c>
      <c r="D8" s="212">
        <v>0.1</v>
      </c>
      <c r="E8" s="213">
        <v>100000</v>
      </c>
      <c r="F8" s="214">
        <f aca="true" t="shared" si="0" ref="F8:F13">+(E8*C8)/(C8+((E8-1)*D8*D8))</f>
        <v>99.90109791306604</v>
      </c>
      <c r="G8" s="10"/>
      <c r="H8" s="207" t="s">
        <v>18</v>
      </c>
      <c r="I8" s="10"/>
      <c r="J8" s="8"/>
      <c r="L8" s="30"/>
    </row>
    <row r="9" spans="2:10" ht="20.25">
      <c r="B9" s="20"/>
      <c r="C9" s="211">
        <v>1</v>
      </c>
      <c r="D9" s="212">
        <v>0.1</v>
      </c>
      <c r="E9" s="213">
        <v>10000</v>
      </c>
      <c r="F9" s="214">
        <f t="shared" si="0"/>
        <v>99.01970492127933</v>
      </c>
      <c r="G9" s="10"/>
      <c r="H9" s="10"/>
      <c r="I9" s="10"/>
      <c r="J9" s="8"/>
    </row>
    <row r="10" spans="2:10" ht="20.25">
      <c r="B10" s="20"/>
      <c r="C10" s="211">
        <v>1</v>
      </c>
      <c r="D10" s="212">
        <v>0.1</v>
      </c>
      <c r="E10" s="213">
        <v>1000</v>
      </c>
      <c r="F10" s="214">
        <f t="shared" si="0"/>
        <v>90.99181073703365</v>
      </c>
      <c r="G10" s="10"/>
      <c r="H10" s="207" t="s">
        <v>24</v>
      </c>
      <c r="I10" s="10"/>
      <c r="J10" s="8"/>
    </row>
    <row r="11" spans="2:10" ht="20.25">
      <c r="B11" s="20"/>
      <c r="C11" s="211">
        <v>1</v>
      </c>
      <c r="D11" s="212">
        <v>0.1</v>
      </c>
      <c r="E11" s="213">
        <v>100</v>
      </c>
      <c r="F11" s="214">
        <f t="shared" si="0"/>
        <v>50.25125628140703</v>
      </c>
      <c r="G11" s="10"/>
      <c r="H11" s="10"/>
      <c r="I11" s="10"/>
      <c r="J11" s="8"/>
    </row>
    <row r="12" spans="2:10" ht="20.25">
      <c r="B12" s="20"/>
      <c r="C12" s="211">
        <v>1</v>
      </c>
      <c r="D12" s="212">
        <v>0.1</v>
      </c>
      <c r="E12" s="213">
        <v>50</v>
      </c>
      <c r="F12" s="214">
        <f t="shared" si="0"/>
        <v>33.557046979865774</v>
      </c>
      <c r="G12" s="10"/>
      <c r="H12" s="10"/>
      <c r="I12" s="10"/>
      <c r="J12" s="8"/>
    </row>
    <row r="13" spans="2:10" ht="21" thickBot="1">
      <c r="B13" s="20"/>
      <c r="C13" s="215">
        <v>1</v>
      </c>
      <c r="D13" s="216">
        <v>0.1</v>
      </c>
      <c r="E13" s="217">
        <v>25</v>
      </c>
      <c r="F13" s="218">
        <f t="shared" si="0"/>
        <v>20.161290322580644</v>
      </c>
      <c r="G13" s="10"/>
      <c r="H13" s="10"/>
      <c r="I13" s="10"/>
      <c r="J13" s="8"/>
    </row>
    <row r="14" spans="2:10" ht="15.75">
      <c r="B14" s="20"/>
      <c r="C14" s="10"/>
      <c r="D14" s="10"/>
      <c r="E14" s="10"/>
      <c r="F14" s="35"/>
      <c r="G14" s="10"/>
      <c r="H14" s="10"/>
      <c r="I14" s="10"/>
      <c r="J14" s="8"/>
    </row>
    <row r="15" spans="2:10" ht="23.25">
      <c r="B15" s="20"/>
      <c r="C15" s="207" t="s">
        <v>135</v>
      </c>
      <c r="D15" s="10"/>
      <c r="E15" s="10"/>
      <c r="F15" s="35"/>
      <c r="G15" s="10"/>
      <c r="H15" s="10"/>
      <c r="I15" s="10"/>
      <c r="J15" s="8"/>
    </row>
    <row r="16" spans="2:10" ht="20.25">
      <c r="B16" s="20"/>
      <c r="C16" s="207" t="s">
        <v>136</v>
      </c>
      <c r="D16" s="10"/>
      <c r="E16" s="10"/>
      <c r="F16" s="35"/>
      <c r="G16" s="10"/>
      <c r="H16" s="10"/>
      <c r="I16" s="10"/>
      <c r="J16" s="8"/>
    </row>
    <row r="17" spans="2:10" ht="16.5" thickBot="1">
      <c r="B17" s="21"/>
      <c r="C17" s="22"/>
      <c r="D17" s="22"/>
      <c r="E17" s="36"/>
      <c r="F17" s="22"/>
      <c r="G17" s="22"/>
      <c r="H17" s="22"/>
      <c r="I17" s="22"/>
      <c r="J17" s="23"/>
    </row>
  </sheetData>
  <sheetProtection password="FB2C" sheet="1" objects="1" scenarios="1" selectLockedCells="1"/>
  <printOptions/>
  <pageMargins left="0.75" right="0.75" top="1" bottom="1" header="0.5" footer="0.5"/>
  <pageSetup orientation="portrait" paperSize="9"/>
  <headerFooter alignWithMargins="0">
    <oddHeader>&amp;C&amp;A</oddHeader>
    <oddFooter>&amp;CPage &amp;P</oddFooter>
  </headerFooter>
  <customProperties>
    <customPr name="DVSECTIONID" r:id="rId3"/>
  </customProperties>
  <legacyDrawing r:id="rId2"/>
</worksheet>
</file>

<file path=xl/worksheets/sheet14.xml><?xml version="1.0" encoding="utf-8"?>
<worksheet xmlns="http://schemas.openxmlformats.org/spreadsheetml/2006/main" xmlns:r="http://schemas.openxmlformats.org/officeDocument/2006/relationships">
  <sheetPr codeName="Sheet14"/>
  <dimension ref="C2:M17"/>
  <sheetViews>
    <sheetView showGridLines="0" showRowColHeaders="0" zoomScalePageLayoutView="0" workbookViewId="0" topLeftCell="A1">
      <selection activeCell="D7" sqref="D7"/>
    </sheetView>
  </sheetViews>
  <sheetFormatPr defaultColWidth="9.00390625" defaultRowHeight="15.75"/>
  <cols>
    <col min="1" max="1" width="5.25390625" style="29" customWidth="1"/>
    <col min="2" max="2" width="7.00390625" style="29" customWidth="1"/>
    <col min="3" max="3" width="3.375" style="29" customWidth="1"/>
    <col min="4" max="4" width="9.00390625" style="29" customWidth="1"/>
    <col min="5" max="5" width="3.00390625" style="29" customWidth="1"/>
    <col min="6" max="7" width="9.00390625" style="29" customWidth="1"/>
    <col min="8" max="8" width="10.125" style="29" customWidth="1"/>
    <col min="9" max="9" width="27.375" style="29" customWidth="1"/>
    <col min="10" max="10" width="5.125" style="29" customWidth="1"/>
    <col min="11" max="16384" width="9.00390625" style="29" customWidth="1"/>
  </cols>
  <sheetData>
    <row r="1" ht="15.75"/>
    <row r="2" spans="3:10" ht="33">
      <c r="C2" s="187" t="s">
        <v>126</v>
      </c>
      <c r="D2" s="130"/>
      <c r="E2" s="130"/>
      <c r="F2" s="130"/>
      <c r="G2" s="130"/>
      <c r="H2" s="130"/>
      <c r="I2" s="130"/>
      <c r="J2" s="130"/>
    </row>
    <row r="3" spans="3:10" ht="33">
      <c r="C3" s="142" t="s">
        <v>93</v>
      </c>
      <c r="D3" s="130"/>
      <c r="E3" s="130"/>
      <c r="F3" s="130"/>
      <c r="G3" s="130"/>
      <c r="H3" s="130"/>
      <c r="I3" s="130"/>
      <c r="J3" s="130"/>
    </row>
    <row r="4" spans="11:13" ht="18.75">
      <c r="K4" s="295" t="s">
        <v>89</v>
      </c>
      <c r="L4" s="295"/>
      <c r="M4" s="295"/>
    </row>
    <row r="5" spans="3:13" ht="15.75">
      <c r="C5" s="10"/>
      <c r="D5" s="10"/>
      <c r="E5" s="10"/>
      <c r="F5" s="10"/>
      <c r="G5" s="10"/>
      <c r="H5" s="10"/>
      <c r="I5" s="10"/>
      <c r="J5" s="30"/>
      <c r="K5" s="273"/>
      <c r="L5" s="296" t="s">
        <v>88</v>
      </c>
      <c r="M5" s="296"/>
    </row>
    <row r="6" spans="3:13" ht="18.75">
      <c r="C6" s="10"/>
      <c r="D6" s="278">
        <v>5</v>
      </c>
      <c r="E6" s="10"/>
      <c r="F6" s="34" t="s">
        <v>86</v>
      </c>
      <c r="G6" s="34"/>
      <c r="H6" s="10"/>
      <c r="I6" s="10"/>
      <c r="J6" s="30"/>
      <c r="K6" s="274" t="s">
        <v>87</v>
      </c>
      <c r="L6" s="275">
        <v>0.05</v>
      </c>
      <c r="M6" s="275">
        <v>0.01</v>
      </c>
    </row>
    <row r="7" spans="3:13" ht="18.75">
      <c r="C7" s="10"/>
      <c r="D7" s="279">
        <v>0.3</v>
      </c>
      <c r="E7" s="10"/>
      <c r="F7" s="223" t="s">
        <v>142</v>
      </c>
      <c r="G7" s="34"/>
      <c r="H7" s="10"/>
      <c r="I7" s="10"/>
      <c r="J7" s="30"/>
      <c r="K7" s="276">
        <v>0.1</v>
      </c>
      <c r="L7" s="277">
        <v>0.43</v>
      </c>
      <c r="M7" s="277">
        <v>1.67</v>
      </c>
    </row>
    <row r="8" spans="3:13" ht="18.75">
      <c r="C8" s="10"/>
      <c r="D8" s="279">
        <v>0.2</v>
      </c>
      <c r="E8" s="10"/>
      <c r="F8" s="34" t="s">
        <v>143</v>
      </c>
      <c r="G8" s="34"/>
      <c r="H8" s="10"/>
      <c r="I8" s="10"/>
      <c r="J8" s="30"/>
      <c r="K8" s="276">
        <v>0.3</v>
      </c>
      <c r="L8" s="277">
        <v>2.06</v>
      </c>
      <c r="M8" s="277">
        <v>4.21</v>
      </c>
    </row>
    <row r="9" spans="3:13" ht="18.75">
      <c r="C9" s="10"/>
      <c r="D9" s="280">
        <v>7.85</v>
      </c>
      <c r="E9" s="10"/>
      <c r="F9" s="34" t="s">
        <v>92</v>
      </c>
      <c r="G9" s="34"/>
      <c r="H9" s="10"/>
      <c r="I9" s="10"/>
      <c r="J9" s="30"/>
      <c r="K9" s="276">
        <v>0.5</v>
      </c>
      <c r="L9" s="277">
        <v>3.84</v>
      </c>
      <c r="M9" s="277">
        <v>6.64</v>
      </c>
    </row>
    <row r="10" spans="3:13" ht="18.75">
      <c r="C10" s="10"/>
      <c r="D10" s="34"/>
      <c r="E10" s="10"/>
      <c r="F10" s="34"/>
      <c r="G10" s="224"/>
      <c r="H10" s="140"/>
      <c r="I10" s="140"/>
      <c r="J10" s="141"/>
      <c r="K10" s="276">
        <v>0.6</v>
      </c>
      <c r="L10" s="277">
        <v>4.9</v>
      </c>
      <c r="M10" s="277">
        <v>8</v>
      </c>
    </row>
    <row r="11" spans="3:13" ht="18.75">
      <c r="C11" s="10"/>
      <c r="D11" s="225">
        <f>(D7^2*(1-D8))/((1+(D6-1)*D8)*(1+(D6-2)*D8))</f>
        <v>0.024999999999999994</v>
      </c>
      <c r="E11" s="10"/>
      <c r="F11" s="34" t="s">
        <v>90</v>
      </c>
      <c r="G11" s="224"/>
      <c r="H11" s="140"/>
      <c r="I11" s="140"/>
      <c r="J11" s="141"/>
      <c r="K11" s="276">
        <v>0.7</v>
      </c>
      <c r="L11" s="277">
        <v>6.17</v>
      </c>
      <c r="M11" s="277">
        <v>9.61</v>
      </c>
    </row>
    <row r="12" spans="3:13" ht="18.75">
      <c r="C12" s="10"/>
      <c r="D12" s="226">
        <f>(D6*D7^2)/(1+(D6-1)*D8)</f>
        <v>0.24999999999999997</v>
      </c>
      <c r="E12" s="10"/>
      <c r="F12" s="34" t="s">
        <v>91</v>
      </c>
      <c r="G12" s="34"/>
      <c r="H12" s="10"/>
      <c r="I12" s="10"/>
      <c r="J12" s="30"/>
      <c r="K12" s="276">
        <v>0.75</v>
      </c>
      <c r="L12" s="277">
        <v>6.94</v>
      </c>
      <c r="M12" s="277">
        <v>10.57</v>
      </c>
    </row>
    <row r="13" spans="3:13" ht="18.75">
      <c r="C13" s="10"/>
      <c r="D13" s="227">
        <f>INT(D9*(1+(D6-1)*D8-D6*D7^2)*(1+(D6-2)*D8)/(D7^2*(1-D8))+D6)</f>
        <v>240</v>
      </c>
      <c r="E13" s="10"/>
      <c r="F13" s="34" t="s">
        <v>140</v>
      </c>
      <c r="G13" s="34"/>
      <c r="H13" s="10"/>
      <c r="I13" s="10"/>
      <c r="J13" s="30"/>
      <c r="K13" s="276">
        <v>0.8</v>
      </c>
      <c r="L13" s="277">
        <v>7.85</v>
      </c>
      <c r="M13" s="277">
        <v>11.68</v>
      </c>
    </row>
    <row r="14" spans="3:13" ht="18.75">
      <c r="C14" s="10"/>
      <c r="D14" s="227">
        <f>INT((D9*(1-D12)/D12)+D6+2)</f>
        <v>30</v>
      </c>
      <c r="E14" s="10"/>
      <c r="F14" s="34" t="s">
        <v>141</v>
      </c>
      <c r="G14" s="34"/>
      <c r="H14" s="10"/>
      <c r="I14" s="10"/>
      <c r="J14" s="30"/>
      <c r="K14" s="276">
        <v>0.85</v>
      </c>
      <c r="L14" s="277">
        <v>8.98</v>
      </c>
      <c r="M14" s="277">
        <v>13.05</v>
      </c>
    </row>
    <row r="15" spans="3:13" ht="15.75">
      <c r="C15" s="196"/>
      <c r="D15" s="196"/>
      <c r="E15" s="196"/>
      <c r="F15" s="196"/>
      <c r="G15" s="196"/>
      <c r="H15" s="196"/>
      <c r="I15" s="196"/>
      <c r="J15" s="30"/>
      <c r="K15" s="276">
        <v>0.9</v>
      </c>
      <c r="L15" s="277">
        <v>10.51</v>
      </c>
      <c r="M15" s="277">
        <v>14.88</v>
      </c>
    </row>
    <row r="16" spans="3:13" ht="18.75">
      <c r="C16" s="167"/>
      <c r="D16" s="228" t="s">
        <v>139</v>
      </c>
      <c r="E16" s="228" t="s">
        <v>41</v>
      </c>
      <c r="F16" s="228"/>
      <c r="G16" s="228" t="s">
        <v>19</v>
      </c>
      <c r="H16" s="228" t="s">
        <v>144</v>
      </c>
      <c r="I16" s="167"/>
      <c r="K16" s="276">
        <v>0.95</v>
      </c>
      <c r="L16" s="277">
        <v>13</v>
      </c>
      <c r="M16" s="277">
        <v>17.81</v>
      </c>
    </row>
    <row r="17" spans="3:13" ht="15.75">
      <c r="C17" s="167"/>
      <c r="D17" s="167"/>
      <c r="E17" s="167"/>
      <c r="F17" s="167"/>
      <c r="G17" s="167"/>
      <c r="H17" s="167"/>
      <c r="I17" s="167"/>
      <c r="K17" s="276">
        <v>0.99</v>
      </c>
      <c r="L17" s="277">
        <v>18.37</v>
      </c>
      <c r="M17" s="277">
        <v>24.03</v>
      </c>
    </row>
    <row r="18" ht="15.75"/>
    <row r="20" ht="15.75"/>
    <row r="21" ht="15.75"/>
    <row r="22" ht="15.75"/>
    <row r="23" ht="15.75"/>
    <row r="25" ht="15.75"/>
    <row r="26" ht="15.75"/>
    <row r="27" ht="15.75"/>
    <row r="28" ht="15.75"/>
    <row r="29" ht="15.75"/>
  </sheetData>
  <sheetProtection password="9372" sheet="1" objects="1" scenarios="1" selectLockedCells="1"/>
  <mergeCells count="2">
    <mergeCell ref="K4:M4"/>
    <mergeCell ref="L5:M5"/>
  </mergeCells>
  <printOptions/>
  <pageMargins left="0.75" right="0.75" top="1" bottom="1" header="0.5" footer="0.5"/>
  <pageSetup horizontalDpi="300" verticalDpi="300" orientation="portrait" r:id="rId3"/>
  <customProperties>
    <customPr name="DVSECTIONID" r:id="rId4"/>
  </customProperties>
  <legacyDrawing r:id="rId2"/>
</worksheet>
</file>

<file path=xl/worksheets/sheet15.xml><?xml version="1.0" encoding="utf-8"?>
<worksheet xmlns="http://schemas.openxmlformats.org/spreadsheetml/2006/main" xmlns:r="http://schemas.openxmlformats.org/officeDocument/2006/relationships">
  <sheetPr codeName="Sheet15"/>
  <dimension ref="B1:M15"/>
  <sheetViews>
    <sheetView showGridLines="0" showRowColHeaders="0" zoomScalePageLayoutView="0" workbookViewId="0" topLeftCell="A1">
      <selection activeCell="D7" sqref="D7"/>
    </sheetView>
  </sheetViews>
  <sheetFormatPr defaultColWidth="9.00390625" defaultRowHeight="15.75"/>
  <cols>
    <col min="1" max="1" width="9.00390625" style="29" customWidth="1"/>
    <col min="2" max="2" width="3.375" style="29" customWidth="1"/>
    <col min="3" max="7" width="9.625" style="29" customWidth="1"/>
    <col min="8" max="8" width="4.00390625" style="29" customWidth="1"/>
    <col min="9" max="9" width="24.625" style="29" customWidth="1"/>
    <col min="10" max="10" width="3.50390625" style="29" customWidth="1"/>
    <col min="11" max="16384" width="9.00390625" style="29" customWidth="1"/>
  </cols>
  <sheetData>
    <row r="1" spans="3:10" ht="26.25">
      <c r="C1" s="130"/>
      <c r="D1" s="130"/>
      <c r="E1" s="130"/>
      <c r="F1" s="130"/>
      <c r="G1" s="130"/>
      <c r="H1" s="130"/>
      <c r="I1" s="130"/>
      <c r="J1" s="130"/>
    </row>
    <row r="2" spans="2:10" ht="33">
      <c r="B2" s="142" t="s">
        <v>98</v>
      </c>
      <c r="C2" s="130"/>
      <c r="D2" s="130"/>
      <c r="E2" s="130"/>
      <c r="F2" s="130"/>
      <c r="G2" s="130"/>
      <c r="H2" s="130"/>
      <c r="I2" s="130"/>
      <c r="J2" s="130"/>
    </row>
    <row r="3" ht="16.5" thickBot="1"/>
    <row r="4" spans="2:8" ht="18.75">
      <c r="B4" s="181"/>
      <c r="C4" s="230"/>
      <c r="D4" s="230"/>
      <c r="E4" s="230"/>
      <c r="F4" s="230"/>
      <c r="G4" s="230"/>
      <c r="H4" s="231"/>
    </row>
    <row r="5" spans="2:8" ht="19.5" thickBot="1">
      <c r="B5" s="232"/>
      <c r="C5" s="223"/>
      <c r="D5" s="223" t="s">
        <v>94</v>
      </c>
      <c r="E5" s="223" t="s">
        <v>95</v>
      </c>
      <c r="F5" s="223" t="s">
        <v>100</v>
      </c>
      <c r="G5" s="223" t="s">
        <v>101</v>
      </c>
      <c r="H5" s="233"/>
    </row>
    <row r="6" spans="2:8" ht="18.75">
      <c r="B6" s="232"/>
      <c r="C6" s="234" t="s">
        <v>22</v>
      </c>
      <c r="D6" s="281">
        <v>12</v>
      </c>
      <c r="E6" s="282">
        <v>24</v>
      </c>
      <c r="F6" s="243">
        <f>D6+E6</f>
        <v>36</v>
      </c>
      <c r="G6" s="235">
        <f>D6+E6</f>
        <v>36</v>
      </c>
      <c r="H6" s="233"/>
    </row>
    <row r="7" spans="2:8" ht="18.75">
      <c r="B7" s="232"/>
      <c r="C7" s="236" t="s">
        <v>96</v>
      </c>
      <c r="D7" s="283">
        <v>10</v>
      </c>
      <c r="E7" s="284">
        <v>50</v>
      </c>
      <c r="F7" s="244">
        <f>(D6*D7+E6*E7)/F6</f>
        <v>36.666666666666664</v>
      </c>
      <c r="G7" s="237">
        <f>(E6*E7+D6*D7)/G6</f>
        <v>36.666666666666664</v>
      </c>
      <c r="H7" s="233"/>
    </row>
    <row r="8" spans="2:8" ht="19.5" thickBot="1">
      <c r="B8" s="232"/>
      <c r="C8" s="236" t="s">
        <v>97</v>
      </c>
      <c r="D8" s="285">
        <v>10</v>
      </c>
      <c r="E8" s="286">
        <v>10</v>
      </c>
      <c r="F8" s="244">
        <f>SQRT(F9)</f>
        <v>10</v>
      </c>
      <c r="G8" s="237">
        <f>SQRT(G9)</f>
        <v>21.514114968019086</v>
      </c>
      <c r="H8" s="233"/>
    </row>
    <row r="9" spans="2:13" ht="18.75">
      <c r="B9" s="232"/>
      <c r="C9" s="223" t="s">
        <v>99</v>
      </c>
      <c r="D9" s="245">
        <f>D8^2</f>
        <v>100</v>
      </c>
      <c r="E9" s="245">
        <f>E8^2</f>
        <v>100</v>
      </c>
      <c r="F9" s="238">
        <f>(D9*(D6-1)+E9*(E6-1))/(F6-2)</f>
        <v>100</v>
      </c>
      <c r="G9" s="237">
        <f>((D12+E12)-G6*(G7^2))/(G6-1)</f>
        <v>462.85714285714283</v>
      </c>
      <c r="H9" s="233"/>
      <c r="M9" s="143"/>
    </row>
    <row r="10" spans="2:8" ht="19.5" thickBot="1">
      <c r="B10" s="239"/>
      <c r="C10" s="240"/>
      <c r="D10" s="241"/>
      <c r="E10" s="241"/>
      <c r="F10" s="241"/>
      <c r="G10" s="241"/>
      <c r="H10" s="242"/>
    </row>
    <row r="11" ht="15.75">
      <c r="H11" s="141"/>
    </row>
    <row r="12" spans="4:8" ht="15.75">
      <c r="D12" s="144">
        <f>(D9*(D6-1))+D6*D7^2</f>
        <v>2300</v>
      </c>
      <c r="E12" s="144">
        <f>(E9*(E6-1))+E6*E7^2</f>
        <v>62300</v>
      </c>
      <c r="H12" s="30"/>
    </row>
    <row r="13" ht="15.75">
      <c r="H13" s="30"/>
    </row>
    <row r="14" ht="15.75">
      <c r="H14" s="30"/>
    </row>
    <row r="15" ht="15.75">
      <c r="H15" s="30"/>
    </row>
  </sheetData>
  <sheetProtection password="C913" sheet="1" objects="1" scenarios="1" selectLockedCells="1"/>
  <protectedRanges>
    <protectedRange sqref="D6:E8" name="Range1_1"/>
  </protectedRanges>
  <printOptions/>
  <pageMargins left="0.75" right="0.75" top="1" bottom="1" header="0.5" footer="0.5"/>
  <pageSetup horizontalDpi="600" verticalDpi="600" orientation="portrait" r:id="rId3"/>
  <customProperties>
    <customPr name="DVSECTIONID" r:id="rId4"/>
  </customProperties>
  <legacyDrawing r:id="rId2"/>
</worksheet>
</file>

<file path=xl/worksheets/sheet16.xml><?xml version="1.0" encoding="utf-8"?>
<worksheet xmlns="http://schemas.openxmlformats.org/spreadsheetml/2006/main" xmlns:r="http://schemas.openxmlformats.org/officeDocument/2006/relationships">
  <sheetPr codeName="Sheet16"/>
  <dimension ref="A1:IV14"/>
  <sheetViews>
    <sheetView zoomScalePageLayoutView="0" workbookViewId="0" topLeftCell="A1">
      <selection activeCell="HM3" sqref="HM3"/>
    </sheetView>
  </sheetViews>
  <sheetFormatPr defaultColWidth="9.00390625" defaultRowHeight="15.75"/>
  <sheetData>
    <row r="1" spans="1:256" ht="15.75">
      <c r="A1">
        <f>IF(Binomial!1:1,"AAAAAHW//wA=",0)</f>
        <v>0</v>
      </c>
      <c r="B1" t="e">
        <f>AND(Binomial!B1,"AAAAAHW//wE=")</f>
        <v>#VALUE!</v>
      </c>
      <c r="C1" t="e">
        <f>AND(Binomial!C1,"AAAAAHW//wI=")</f>
        <v>#VALUE!</v>
      </c>
      <c r="D1" t="e">
        <f>AND(Binomial!D1,"AAAAAHW//wM=")</f>
        <v>#VALUE!</v>
      </c>
      <c r="E1" t="e">
        <f>AND(Binomial!E1,"AAAAAHW//wQ=")</f>
        <v>#VALUE!</v>
      </c>
      <c r="F1">
        <f>IF(Binomial!2:2,"AAAAAHW//wU=",0)</f>
        <v>0</v>
      </c>
      <c r="G1" t="e">
        <f>AND(Binomial!B2,"AAAAAHW//wY=")</f>
        <v>#VALUE!</v>
      </c>
      <c r="H1" t="e">
        <f>AND(Binomial!C2,"AAAAAHW//wc=")</f>
        <v>#VALUE!</v>
      </c>
      <c r="I1" t="e">
        <f>AND(Binomial!D2,"AAAAAHW//wg=")</f>
        <v>#VALUE!</v>
      </c>
      <c r="J1" t="e">
        <f>AND(Binomial!E2,"AAAAAHW//wk=")</f>
        <v>#VALUE!</v>
      </c>
      <c r="K1">
        <f>IF(Binomial!3:3,"AAAAAHW//wo=",0)</f>
        <v>0</v>
      </c>
      <c r="L1" t="e">
        <f>AND(Binomial!B3,"AAAAAHW//ws=")</f>
        <v>#VALUE!</v>
      </c>
      <c r="M1" t="e">
        <f>AND(Binomial!C3,"AAAAAHW//ww=")</f>
        <v>#VALUE!</v>
      </c>
      <c r="N1" t="e">
        <f>AND(Binomial!D3,"AAAAAHW//w0=")</f>
        <v>#VALUE!</v>
      </c>
      <c r="O1" t="e">
        <f>AND(Binomial!E3,"AAAAAHW//w4=")</f>
        <v>#VALUE!</v>
      </c>
      <c r="P1">
        <f>IF(Binomial!4:4,"AAAAAHW//w8=",0)</f>
        <v>0</v>
      </c>
      <c r="Q1" t="e">
        <f>AND(Binomial!B4,"AAAAAHW//xA=")</f>
        <v>#VALUE!</v>
      </c>
      <c r="R1" t="e">
        <f>AND(Binomial!C4,"AAAAAHW//xE=")</f>
        <v>#VALUE!</v>
      </c>
      <c r="S1" t="e">
        <f>AND(Binomial!D4,"AAAAAHW//xI=")</f>
        <v>#VALUE!</v>
      </c>
      <c r="T1" t="e">
        <f>AND(Binomial!E4,"AAAAAHW//xM=")</f>
        <v>#VALUE!</v>
      </c>
      <c r="U1">
        <f>IF(Binomial!5:5,"AAAAAHW//xQ=",0)</f>
        <v>0</v>
      </c>
      <c r="V1" t="e">
        <f>AND(Binomial!B5,"AAAAAHW//xU=")</f>
        <v>#VALUE!</v>
      </c>
      <c r="W1" t="e">
        <f>AND(Binomial!C5,"AAAAAHW//xY=")</f>
        <v>#VALUE!</v>
      </c>
      <c r="X1" t="e">
        <f>AND(Binomial!D5,"AAAAAHW//xc=")</f>
        <v>#VALUE!</v>
      </c>
      <c r="Y1" t="e">
        <f>AND(Binomial!E5,"AAAAAHW//xg=")</f>
        <v>#VALUE!</v>
      </c>
      <c r="Z1">
        <f>IF(Binomial!6:6,"AAAAAHW//xk=",0)</f>
        <v>0</v>
      </c>
      <c r="AA1" t="e">
        <f>AND(Binomial!B6,"AAAAAHW//xo=")</f>
        <v>#VALUE!</v>
      </c>
      <c r="AB1" t="e">
        <f>AND(Binomial!C6,"AAAAAHW//xs=")</f>
        <v>#VALUE!</v>
      </c>
      <c r="AC1" t="e">
        <f>AND(Binomial!D6,"AAAAAHW//xw=")</f>
        <v>#VALUE!</v>
      </c>
      <c r="AD1" t="e">
        <f>AND(Binomial!E6,"AAAAAHW//x0=")</f>
        <v>#VALUE!</v>
      </c>
      <c r="AE1">
        <f>IF(Binomial!7:7,"AAAAAHW//x4=",0)</f>
        <v>0</v>
      </c>
      <c r="AF1" t="e">
        <f>AND(Binomial!B7,"AAAAAHW//x8=")</f>
        <v>#VALUE!</v>
      </c>
      <c r="AG1" t="e">
        <f>AND(Binomial!C7,"AAAAAHW//yA=")</f>
        <v>#VALUE!</v>
      </c>
      <c r="AH1" t="e">
        <f>AND(Binomial!D7,"AAAAAHW//yE=")</f>
        <v>#VALUE!</v>
      </c>
      <c r="AI1" t="e">
        <f>AND(Binomial!E7,"AAAAAHW//yI=")</f>
        <v>#VALUE!</v>
      </c>
      <c r="AJ1">
        <f>IF(Binomial!8:8,"AAAAAHW//yM=",0)</f>
        <v>0</v>
      </c>
      <c r="AK1" t="e">
        <f>AND(Binomial!B8,"AAAAAHW//yQ=")</f>
        <v>#VALUE!</v>
      </c>
      <c r="AL1" t="e">
        <f>AND(Binomial!C8,"AAAAAHW//yU=")</f>
        <v>#VALUE!</v>
      </c>
      <c r="AM1" t="e">
        <f>AND(Binomial!D8,"AAAAAHW//yY=")</f>
        <v>#VALUE!</v>
      </c>
      <c r="AN1" t="e">
        <f>AND(Binomial!E8,"AAAAAHW//yc=")</f>
        <v>#VALUE!</v>
      </c>
      <c r="AO1">
        <f>IF(Binomial!9:9,"AAAAAHW//yg=",0)</f>
        <v>0</v>
      </c>
      <c r="AP1" t="e">
        <f>AND(Binomial!B9,"AAAAAHW//yk=")</f>
        <v>#VALUE!</v>
      </c>
      <c r="AQ1" t="e">
        <f>AND(Binomial!C9,"AAAAAHW//yo=")</f>
        <v>#VALUE!</v>
      </c>
      <c r="AR1" t="e">
        <f>AND(Binomial!D9,"AAAAAHW//ys=")</f>
        <v>#VALUE!</v>
      </c>
      <c r="AS1" t="e">
        <f>AND(Binomial!E9,"AAAAAHW//yw=")</f>
        <v>#VALUE!</v>
      </c>
      <c r="AT1">
        <f>IF(Binomial!10:10,"AAAAAHW//y0=",0)</f>
        <v>0</v>
      </c>
      <c r="AU1" t="e">
        <f>AND(Binomial!B10,"AAAAAHW//y4=")</f>
        <v>#VALUE!</v>
      </c>
      <c r="AV1" t="e">
        <f>AND(Binomial!C10,"AAAAAHW//y8=")</f>
        <v>#VALUE!</v>
      </c>
      <c r="AW1" t="e">
        <f>AND(Binomial!D10,"AAAAAHW//zA=")</f>
        <v>#VALUE!</v>
      </c>
      <c r="AX1" t="e">
        <f>AND(Binomial!E10,"AAAAAHW//zE=")</f>
        <v>#VALUE!</v>
      </c>
      <c r="AY1">
        <f>IF(Binomial!11:11,"AAAAAHW//zI=",0)</f>
        <v>0</v>
      </c>
      <c r="AZ1" t="e">
        <f>AND(Binomial!B11,"AAAAAHW//zM=")</f>
        <v>#VALUE!</v>
      </c>
      <c r="BA1" t="e">
        <f>AND(Binomial!C11,"AAAAAHW//zQ=")</f>
        <v>#VALUE!</v>
      </c>
      <c r="BB1" t="e">
        <f>AND(Binomial!D11,"AAAAAHW//zU=")</f>
        <v>#VALUE!</v>
      </c>
      <c r="BC1" t="e">
        <f>AND(Binomial!E11,"AAAAAHW//zY=")</f>
        <v>#VALUE!</v>
      </c>
      <c r="BD1">
        <f>IF(Binomial!12:12,"AAAAAHW//zc=",0)</f>
        <v>0</v>
      </c>
      <c r="BE1" t="e">
        <f>AND(Binomial!B12,"AAAAAHW//zg=")</f>
        <v>#VALUE!</v>
      </c>
      <c r="BF1">
        <f>IF(Binomial!13:13,"AAAAAHW//zk=",0)</f>
        <v>0</v>
      </c>
      <c r="BG1" t="e">
        <f>AND(Binomial!B13,"AAAAAHW//zo=")</f>
        <v>#VALUE!</v>
      </c>
      <c r="BH1">
        <f>IF(Binomial!14:14,"AAAAAHW//zs=",0)</f>
        <v>0</v>
      </c>
      <c r="BI1" t="e">
        <f>AND(Binomial!B14,"AAAAAHW//zw=")</f>
        <v>#VALUE!</v>
      </c>
      <c r="BJ1">
        <f>IF(Binomial!15:15,"AAAAAHW//z0=",0)</f>
        <v>0</v>
      </c>
      <c r="BK1" t="e">
        <f>AND(Binomial!B15,"AAAAAHW//z4=")</f>
        <v>#VALUE!</v>
      </c>
      <c r="BL1">
        <f>IF(Binomial!16:16,"AAAAAHW//z8=",0)</f>
        <v>0</v>
      </c>
      <c r="BM1" t="e">
        <f>AND(Binomial!B16,"AAAAAHW//0A=")</f>
        <v>#VALUE!</v>
      </c>
      <c r="BN1">
        <f>IF(Binomial!17:17,"AAAAAHW//0E=",0)</f>
        <v>0</v>
      </c>
      <c r="BO1" t="e">
        <f>AND(Binomial!B17,"AAAAAHW//0I=")</f>
        <v>#VALUE!</v>
      </c>
      <c r="BP1">
        <f>IF(Binomial!A:A,"AAAAAHW//0M=",0)</f>
        <v>0</v>
      </c>
      <c r="BQ1">
        <f>IF(Binomial!B:B,"AAAAAHW//0Q=",0)</f>
        <v>0</v>
      </c>
      <c r="BR1">
        <f>IF(Binomial!C:C,"AAAAAHW//0U=",0)</f>
        <v>0</v>
      </c>
      <c r="BS1">
        <f>IF(Binomial!D:D,"AAAAAHW//0Y=",0)</f>
        <v>0</v>
      </c>
      <c r="BT1">
        <f>IF(Binomial!E:E,"AAAAAHW//0c=",0)</f>
        <v>0</v>
      </c>
      <c r="BU1">
        <f>IF('CI for P'!1:1,"AAAAAHW//0g=",0)</f>
        <v>0</v>
      </c>
      <c r="BV1" t="e">
        <f>AND('CI for P'!B1,"AAAAAHW//0k=")</f>
        <v>#VALUE!</v>
      </c>
      <c r="BW1" t="e">
        <f>AND('CI for P'!C1,"AAAAAHW//0o=")</f>
        <v>#VALUE!</v>
      </c>
      <c r="BX1" t="e">
        <f>AND('CI for P'!D1,"AAAAAHW//0s=")</f>
        <v>#VALUE!</v>
      </c>
      <c r="BY1" t="e">
        <f>AND('CI for P'!E1,"AAAAAHW//0w=")</f>
        <v>#VALUE!</v>
      </c>
      <c r="BZ1" t="e">
        <f>AND('CI for P'!F1,"AAAAAHW//00=")</f>
        <v>#VALUE!</v>
      </c>
      <c r="CA1" t="e">
        <f>AND('CI for P'!G1,"AAAAAHW//04=")</f>
        <v>#VALUE!</v>
      </c>
      <c r="CB1" t="e">
        <f>AND('CI for P'!H1,"AAAAAHW//08=")</f>
        <v>#VALUE!</v>
      </c>
      <c r="CC1" t="e">
        <f>AND('CI for P'!I1,"AAAAAHW//1A=")</f>
        <v>#VALUE!</v>
      </c>
      <c r="CD1" t="e">
        <f>AND('CI for P'!J1,"AAAAAHW//1E=")</f>
        <v>#VALUE!</v>
      </c>
      <c r="CE1">
        <f>IF('CI for P'!2:2,"AAAAAHW//1I=",0)</f>
        <v>0</v>
      </c>
      <c r="CF1" t="e">
        <f>AND('CI for P'!B2,"AAAAAHW//1M=")</f>
        <v>#VALUE!</v>
      </c>
      <c r="CG1" t="e">
        <f>AND('CI for P'!C2,"AAAAAHW//1Q=")</f>
        <v>#VALUE!</v>
      </c>
      <c r="CH1" t="e">
        <f>AND('CI for P'!D2,"AAAAAHW//1U=")</f>
        <v>#VALUE!</v>
      </c>
      <c r="CI1" t="e">
        <f>AND('CI for P'!E2,"AAAAAHW//1Y=")</f>
        <v>#VALUE!</v>
      </c>
      <c r="CJ1" t="e">
        <f>AND('CI for P'!F2,"AAAAAHW//1c=")</f>
        <v>#VALUE!</v>
      </c>
      <c r="CK1" t="e">
        <f>AND('CI for P'!G2,"AAAAAHW//1g=")</f>
        <v>#VALUE!</v>
      </c>
      <c r="CL1" t="e">
        <f>AND('CI for P'!H2,"AAAAAHW//1k=")</f>
        <v>#VALUE!</v>
      </c>
      <c r="CM1" t="e">
        <f>AND('CI for P'!I2,"AAAAAHW//1o=")</f>
        <v>#VALUE!</v>
      </c>
      <c r="CN1" t="e">
        <f>AND('CI for P'!J2,"AAAAAHW//1s=")</f>
        <v>#VALUE!</v>
      </c>
      <c r="CO1">
        <f>IF('CI for P'!3:3,"AAAAAHW//1w=",0)</f>
        <v>0</v>
      </c>
      <c r="CP1" t="e">
        <f>AND('CI for P'!B3,"AAAAAHW//10=")</f>
        <v>#VALUE!</v>
      </c>
      <c r="CQ1" t="e">
        <f>AND('CI for P'!C3,"AAAAAHW//14=")</f>
        <v>#VALUE!</v>
      </c>
      <c r="CR1" t="e">
        <f>AND('CI for P'!D3,"AAAAAHW//18=")</f>
        <v>#VALUE!</v>
      </c>
      <c r="CS1" t="e">
        <f>AND('CI for P'!E3,"AAAAAHW//2A=")</f>
        <v>#VALUE!</v>
      </c>
      <c r="CT1" t="e">
        <f>AND('CI for P'!F3,"AAAAAHW//2E=")</f>
        <v>#VALUE!</v>
      </c>
      <c r="CU1" t="e">
        <f>AND('CI for P'!G3,"AAAAAHW//2I=")</f>
        <v>#VALUE!</v>
      </c>
      <c r="CV1" t="e">
        <f>AND('CI for P'!H3,"AAAAAHW//2M=")</f>
        <v>#VALUE!</v>
      </c>
      <c r="CW1" t="e">
        <f>AND('CI for P'!I3,"AAAAAHW//2Q=")</f>
        <v>#VALUE!</v>
      </c>
      <c r="CX1" t="e">
        <f>AND('CI for P'!J3,"AAAAAHW//2U=")</f>
        <v>#VALUE!</v>
      </c>
      <c r="CY1">
        <f>IF('CI for P'!4:4,"AAAAAHW//2Y=",0)</f>
        <v>0</v>
      </c>
      <c r="CZ1" t="e">
        <f>AND('CI for P'!B4,"AAAAAHW//2c=")</f>
        <v>#VALUE!</v>
      </c>
      <c r="DA1" t="e">
        <f>AND('CI for P'!C4,"AAAAAHW//2g=")</f>
        <v>#VALUE!</v>
      </c>
      <c r="DB1" t="e">
        <f>AND('CI for P'!D4,"AAAAAHW//2k=")</f>
        <v>#VALUE!</v>
      </c>
      <c r="DC1" t="e">
        <f>AND('CI for P'!E4,"AAAAAHW//2o=")</f>
        <v>#VALUE!</v>
      </c>
      <c r="DD1" t="e">
        <f>AND('CI for P'!F4,"AAAAAHW//2s=")</f>
        <v>#VALUE!</v>
      </c>
      <c r="DE1" t="e">
        <f>AND('CI for P'!G4,"AAAAAHW//2w=")</f>
        <v>#VALUE!</v>
      </c>
      <c r="DF1" t="e">
        <f>AND('CI for P'!H4,"AAAAAHW//20=")</f>
        <v>#VALUE!</v>
      </c>
      <c r="DG1" t="e">
        <f>AND('CI for P'!I4,"AAAAAHW//24=")</f>
        <v>#VALUE!</v>
      </c>
      <c r="DH1" t="e">
        <f>AND('CI for P'!J4,"AAAAAHW//28=")</f>
        <v>#VALUE!</v>
      </c>
      <c r="DI1">
        <f>IF('CI for P'!5:5,"AAAAAHW//3A=",0)</f>
        <v>0</v>
      </c>
      <c r="DJ1" t="e">
        <f>AND('CI for P'!B5,"AAAAAHW//3E=")</f>
        <v>#VALUE!</v>
      </c>
      <c r="DK1" t="e">
        <f>AND('CI for P'!C5,"AAAAAHW//3I=")</f>
        <v>#VALUE!</v>
      </c>
      <c r="DL1" t="e">
        <f>AND('CI for P'!D5,"AAAAAHW//3M=")</f>
        <v>#VALUE!</v>
      </c>
      <c r="DM1" t="e">
        <f>AND('CI for P'!E5,"AAAAAHW//3Q=")</f>
        <v>#VALUE!</v>
      </c>
      <c r="DN1" t="e">
        <f>AND('CI for P'!F5,"AAAAAHW//3U=")</f>
        <v>#VALUE!</v>
      </c>
      <c r="DO1" t="e">
        <f>AND('CI for P'!G5,"AAAAAHW//3Y=")</f>
        <v>#VALUE!</v>
      </c>
      <c r="DP1" t="e">
        <f>AND('CI for P'!H5,"AAAAAHW//3c=")</f>
        <v>#VALUE!</v>
      </c>
      <c r="DQ1" t="e">
        <f>AND('CI for P'!#REF!,"AAAAAHW//3g=")</f>
        <v>#REF!</v>
      </c>
      <c r="DR1" t="e">
        <f>AND('CI for P'!J5,"AAAAAHW//3k=")</f>
        <v>#VALUE!</v>
      </c>
      <c r="DS1">
        <f>IF('CI for P'!6:6,"AAAAAHW//3o=",0)</f>
        <v>0</v>
      </c>
      <c r="DT1" t="e">
        <f>AND('CI for P'!B6,"AAAAAHW//3s=")</f>
        <v>#VALUE!</v>
      </c>
      <c r="DU1" t="e">
        <f>AND('CI for P'!E6,"AAAAAHW//3w=")</f>
        <v>#VALUE!</v>
      </c>
      <c r="DV1" t="e">
        <f>AND('CI for P'!D6,"AAAAAHW//30=")</f>
        <v>#VALUE!</v>
      </c>
      <c r="DW1" t="e">
        <f>AND('CI for P'!#REF!,"AAAAAHW//34=")</f>
        <v>#REF!</v>
      </c>
      <c r="DX1" t="e">
        <f>AND('CI for P'!F6,"AAAAAHW//38=")</f>
        <v>#VALUE!</v>
      </c>
      <c r="DY1" t="e">
        <f>AND('CI for P'!G6,"AAAAAHW//4A=")</f>
        <v>#VALUE!</v>
      </c>
      <c r="DZ1" t="e">
        <f>AND('CI for P'!H6,"AAAAAHW//4E=")</f>
        <v>#VALUE!</v>
      </c>
      <c r="EA1" t="e">
        <f>AND('CI for P'!I6,"AAAAAHW//4I=")</f>
        <v>#VALUE!</v>
      </c>
      <c r="EB1" t="e">
        <f>AND('CI for P'!J6,"AAAAAHW//4M=")</f>
        <v>#VALUE!</v>
      </c>
      <c r="EC1">
        <f>IF('CI for P'!7:7,"AAAAAHW//4Q=",0)</f>
        <v>0</v>
      </c>
      <c r="ED1" t="e">
        <f>AND('CI for P'!B7,"AAAAAHW//4U=")</f>
        <v>#VALUE!</v>
      </c>
      <c r="EE1" t="e">
        <f>AND('CI for P'!C7,"AAAAAHW//4Y=")</f>
        <v>#VALUE!</v>
      </c>
      <c r="EF1" t="e">
        <f>AND('CI for P'!D7,"AAAAAHW//4c=")</f>
        <v>#VALUE!</v>
      </c>
      <c r="EG1" t="e">
        <f>AND('CI for P'!E7,"AAAAAHW//4g=")</f>
        <v>#VALUE!</v>
      </c>
      <c r="EH1" t="e">
        <f>AND('CI for P'!F7,"AAAAAHW//4k=")</f>
        <v>#VALUE!</v>
      </c>
      <c r="EI1" t="e">
        <f>AND('CI for P'!G7,"AAAAAHW//4o=")</f>
        <v>#VALUE!</v>
      </c>
      <c r="EJ1" t="e">
        <f>AND('CI for P'!H7,"AAAAAHW//4s=")</f>
        <v>#VALUE!</v>
      </c>
      <c r="EK1" t="e">
        <f>AND('CI for P'!#REF!,"AAAAAHW//4w=")</f>
        <v>#REF!</v>
      </c>
      <c r="EL1" t="e">
        <f>AND('CI for P'!J7,"AAAAAHW//40=")</f>
        <v>#VALUE!</v>
      </c>
      <c r="EM1">
        <f>IF('CI for P'!8:8,"AAAAAHW//44=",0)</f>
        <v>0</v>
      </c>
      <c r="EN1" t="e">
        <f>AND('CI for P'!B8,"AAAAAHW//48=")</f>
        <v>#VALUE!</v>
      </c>
      <c r="EO1" t="e">
        <f>AND('CI for P'!E8,"AAAAAHW//5A=")</f>
        <v>#VALUE!</v>
      </c>
      <c r="EP1" t="e">
        <f>AND('CI for P'!D8,"AAAAAHW//5E=")</f>
        <v>#VALUE!</v>
      </c>
      <c r="EQ1" t="e">
        <f>AND('CI for P'!#REF!,"AAAAAHW//5I=")</f>
        <v>#REF!</v>
      </c>
      <c r="ER1" t="e">
        <f>AND('CI for P'!F8,"AAAAAHW//5M=")</f>
        <v>#VALUE!</v>
      </c>
      <c r="ES1" t="e">
        <f>AND('CI for P'!G8,"AAAAAHW//5Q=")</f>
        <v>#VALUE!</v>
      </c>
      <c r="ET1" t="e">
        <f>AND('CI for P'!H8,"AAAAAHW//5U=")</f>
        <v>#VALUE!</v>
      </c>
      <c r="EU1" t="e">
        <f>AND('CI for P'!I8,"AAAAAHW//5Y=")</f>
        <v>#VALUE!</v>
      </c>
      <c r="EV1" t="e">
        <f>AND('CI for P'!J8,"AAAAAHW//5c=")</f>
        <v>#VALUE!</v>
      </c>
      <c r="EW1">
        <f>IF('CI for P'!9:9,"AAAAAHW//5g=",0)</f>
        <v>0</v>
      </c>
      <c r="EX1" t="e">
        <f>AND('CI for P'!B9,"AAAAAHW//5k=")</f>
        <v>#VALUE!</v>
      </c>
      <c r="EY1" t="e">
        <f>AND('CI for P'!C9,"AAAAAHW//5o=")</f>
        <v>#VALUE!</v>
      </c>
      <c r="EZ1" t="e">
        <f>AND('CI for P'!D9,"AAAAAHW//5s=")</f>
        <v>#VALUE!</v>
      </c>
      <c r="FA1" t="e">
        <f>AND('CI for P'!E9,"AAAAAHW//5w=")</f>
        <v>#VALUE!</v>
      </c>
      <c r="FB1" t="e">
        <f>AND('CI for P'!F9,"AAAAAHW//50=")</f>
        <v>#VALUE!</v>
      </c>
      <c r="FC1" t="e">
        <f>AND('CI for P'!G9,"AAAAAHW//54=")</f>
        <v>#VALUE!</v>
      </c>
      <c r="FD1" t="e">
        <f>AND('CI for P'!H9,"AAAAAHW//58=")</f>
        <v>#VALUE!</v>
      </c>
      <c r="FE1" t="e">
        <f>AND('CI for P'!I9,"AAAAAHW//6A=")</f>
        <v>#VALUE!</v>
      </c>
      <c r="FF1" t="e">
        <f>AND('CI for P'!J9,"AAAAAHW//6E=")</f>
        <v>#VALUE!</v>
      </c>
      <c r="FG1">
        <f>IF('CI for P'!10:10,"AAAAAHW//6I=",0)</f>
        <v>0</v>
      </c>
      <c r="FH1" t="e">
        <f>AND('CI for P'!B10,"AAAAAHW//6M=")</f>
        <v>#VALUE!</v>
      </c>
      <c r="FI1" t="e">
        <f>AND('CI for P'!E10,"AAAAAHW//6Q=")</f>
        <v>#VALUE!</v>
      </c>
      <c r="FJ1" t="e">
        <f>AND('CI for P'!D10,"AAAAAHW//6U=")</f>
        <v>#VALUE!</v>
      </c>
      <c r="FK1" t="e">
        <f>AND('CI for P'!#REF!,"AAAAAHW//6Y=")</f>
        <v>#REF!</v>
      </c>
      <c r="FL1" t="e">
        <f>AND('CI for P'!F10,"AAAAAHW//6c=")</f>
        <v>#VALUE!</v>
      </c>
      <c r="FM1" t="e">
        <f>AND('CI for P'!G10,"AAAAAHW//6g=")</f>
        <v>#VALUE!</v>
      </c>
      <c r="FN1" t="e">
        <f>AND('CI for P'!H10,"AAAAAHW//6k=")</f>
        <v>#VALUE!</v>
      </c>
      <c r="FO1" t="e">
        <f>AND('CI for P'!I10,"AAAAAHW//6o=")</f>
        <v>#VALUE!</v>
      </c>
      <c r="FP1" t="e">
        <f>AND('CI for P'!J10,"AAAAAHW//6s=")</f>
        <v>#VALUE!</v>
      </c>
      <c r="FQ1">
        <f>IF('CI for P'!11:11,"AAAAAHW//6w=",0)</f>
        <v>0</v>
      </c>
      <c r="FR1" t="e">
        <f>AND('CI for P'!B11,"AAAAAHW//60=")</f>
        <v>#VALUE!</v>
      </c>
      <c r="FS1" t="e">
        <f>AND('CI for P'!C11,"AAAAAHW//64=")</f>
        <v>#VALUE!</v>
      </c>
      <c r="FT1" t="e">
        <f>AND('CI for P'!D11,"AAAAAHW//68=")</f>
        <v>#VALUE!</v>
      </c>
      <c r="FU1" t="e">
        <f>AND('CI for P'!E11,"AAAAAHW//7A=")</f>
        <v>#VALUE!</v>
      </c>
      <c r="FV1" t="e">
        <f>AND('CI for P'!F11,"AAAAAHW//7E=")</f>
        <v>#VALUE!</v>
      </c>
      <c r="FW1" t="e">
        <f>AND('CI for P'!G11,"AAAAAHW//7I=")</f>
        <v>#VALUE!</v>
      </c>
      <c r="FX1" t="e">
        <f>AND('CI for P'!H11,"AAAAAHW//7M=")</f>
        <v>#VALUE!</v>
      </c>
      <c r="FY1" t="e">
        <f>AND('CI for P'!I11,"AAAAAHW//7Q=")</f>
        <v>#VALUE!</v>
      </c>
      <c r="FZ1" t="e">
        <f>AND('CI for P'!J11,"AAAAAHW//7U=")</f>
        <v>#VALUE!</v>
      </c>
      <c r="GA1">
        <f>IF('CI for P'!12:12,"AAAAAHW//7Y=",0)</f>
        <v>0</v>
      </c>
      <c r="GB1" t="e">
        <f>AND('CI for P'!B12,"AAAAAHW//7c=")</f>
        <v>#VALUE!</v>
      </c>
      <c r="GC1" t="e">
        <f>AND('CI for P'!C12,"AAAAAHW//7g=")</f>
        <v>#VALUE!</v>
      </c>
      <c r="GD1" t="e">
        <f>AND('CI for P'!D12,"AAAAAHW//7k=")</f>
        <v>#VALUE!</v>
      </c>
      <c r="GE1" t="e">
        <f>AND('CI for P'!E12,"AAAAAHW//7o=")</f>
        <v>#VALUE!</v>
      </c>
      <c r="GF1" t="e">
        <f>AND('CI for P'!F12,"AAAAAHW//7s=")</f>
        <v>#VALUE!</v>
      </c>
      <c r="GG1" t="e">
        <f>AND('CI for P'!G12,"AAAAAHW//7w=")</f>
        <v>#VALUE!</v>
      </c>
      <c r="GH1" t="e">
        <f>AND('CI for P'!H12,"AAAAAHW//70=")</f>
        <v>#VALUE!</v>
      </c>
      <c r="GI1" t="e">
        <f>AND('CI for P'!I12,"AAAAAHW//74=")</f>
        <v>#VALUE!</v>
      </c>
      <c r="GJ1" t="e">
        <f>AND('CI for P'!J12,"AAAAAHW//78=")</f>
        <v>#VALUE!</v>
      </c>
      <c r="GK1">
        <f>IF('CI for P'!13:13,"AAAAAHW//8A=",0)</f>
        <v>0</v>
      </c>
      <c r="GL1" t="e">
        <f>AND('CI for P'!B13,"AAAAAHW//8E=")</f>
        <v>#VALUE!</v>
      </c>
      <c r="GM1" t="e">
        <f>AND('CI for P'!C13,"AAAAAHW//8I=")</f>
        <v>#VALUE!</v>
      </c>
      <c r="GN1" t="e">
        <f>AND('CI for P'!D13,"AAAAAHW//8M=")</f>
        <v>#VALUE!</v>
      </c>
      <c r="GO1" t="e">
        <f>AND('CI for P'!E13,"AAAAAHW//8Q=")</f>
        <v>#VALUE!</v>
      </c>
      <c r="GP1" t="e">
        <f>AND('CI for P'!F13,"AAAAAHW//8U=")</f>
        <v>#VALUE!</v>
      </c>
      <c r="GQ1" t="e">
        <f>AND('CI for P'!G13,"AAAAAHW//8Y=")</f>
        <v>#VALUE!</v>
      </c>
      <c r="GR1" t="e">
        <f>AND('CI for P'!H13,"AAAAAHW//8c=")</f>
        <v>#VALUE!</v>
      </c>
      <c r="GS1" t="e">
        <f>AND('CI for P'!I13,"AAAAAHW//8g=")</f>
        <v>#VALUE!</v>
      </c>
      <c r="GT1" t="e">
        <f>AND('CI for P'!I5,"AAAAAHW//8k=")</f>
        <v>#VALUE!</v>
      </c>
      <c r="GU1">
        <f>IF('CI for P'!14:14,"AAAAAHW//8o=",0)</f>
        <v>0</v>
      </c>
      <c r="GV1" t="e">
        <f>AND('CI for P'!C14,"AAAAAHW//8s=")</f>
        <v>#VALUE!</v>
      </c>
      <c r="GW1" t="e">
        <f>AND('CI for P'!#REF!,"AAAAAHW//8w=")</f>
        <v>#REF!</v>
      </c>
      <c r="GX1" t="e">
        <f>AND('CI for P'!E14,"AAAAAHW//80=")</f>
        <v>#VALUE!</v>
      </c>
      <c r="GY1" t="e">
        <f>AND('CI for P'!#REF!,"AAAAAHW//84=")</f>
        <v>#REF!</v>
      </c>
      <c r="GZ1" t="e">
        <f>AND('CI for P'!D15,"AAAAAHW//88=")</f>
        <v>#VALUE!</v>
      </c>
      <c r="HA1" t="e">
        <f>AND('CI for P'!G14,"AAAAAHW//9A=")</f>
        <v>#VALUE!</v>
      </c>
      <c r="HB1" t="e">
        <f>AND('CI for P'!H14,"AAAAAHW//9E=")</f>
        <v>#VALUE!</v>
      </c>
      <c r="HC1" t="e">
        <f>AND('CI for P'!I14,"AAAAAHW//9I=")</f>
        <v>#VALUE!</v>
      </c>
      <c r="HD1" t="e">
        <f>AND('CI for P'!J14,"AAAAAHW//9M=")</f>
        <v>#VALUE!</v>
      </c>
      <c r="HE1">
        <f>IF('CI for P'!15:15,"AAAAAHW//9Q=",0)</f>
        <v>0</v>
      </c>
      <c r="HF1" t="e">
        <f>AND('CI for P'!B15,"AAAAAHW//9U=")</f>
        <v>#VALUE!</v>
      </c>
      <c r="HG1" t="e">
        <f>AND('CI for P'!C15,"AAAAAHW//9Y=")</f>
        <v>#VALUE!</v>
      </c>
      <c r="HH1" t="e">
        <f>AND('CI for P'!#REF!,"AAAAAHW//9c=")</f>
        <v>#REF!</v>
      </c>
      <c r="HI1" t="e">
        <f>AND('CI for P'!E15,"AAAAAHW//9g=")</f>
        <v>#VALUE!</v>
      </c>
      <c r="HJ1" t="e">
        <f>AND('CI for P'!F15,"AAAAAHW//9k=")</f>
        <v>#VALUE!</v>
      </c>
      <c r="HK1" t="e">
        <f>AND('CI for P'!G15,"AAAAAHW//9o=")</f>
        <v>#VALUE!</v>
      </c>
      <c r="HL1" t="e">
        <f>AND('CI for P'!H15,"AAAAAHW//9s=")</f>
        <v>#VALUE!</v>
      </c>
      <c r="HM1" t="e">
        <f>AND('CI for P'!I15,"AAAAAHW//9w=")</f>
        <v>#VALUE!</v>
      </c>
      <c r="HN1" t="e">
        <f>AND('CI for P'!I7,"AAAAAHW//90=")</f>
        <v>#VALUE!</v>
      </c>
      <c r="HO1">
        <f>IF('CI for P'!16:16,"AAAAAHW//94=",0)</f>
        <v>0</v>
      </c>
      <c r="HP1" t="e">
        <f>AND('CI for P'!B16,"AAAAAHW//98=")</f>
        <v>#VALUE!</v>
      </c>
      <c r="HQ1" t="e">
        <f>AND('CI for P'!C16,"AAAAAHW//+A=")</f>
        <v>#VALUE!</v>
      </c>
      <c r="HR1" t="e">
        <f>AND('CI for P'!E16,"AAAAAHW//+E=")</f>
        <v>#VALUE!</v>
      </c>
      <c r="HS1" t="e">
        <f>AND('CI for P'!#REF!,"AAAAAHW//+I=")</f>
        <v>#REF!</v>
      </c>
      <c r="HT1" t="e">
        <f>AND('CI for P'!D17,"AAAAAHW//+M=")</f>
        <v>#VALUE!</v>
      </c>
      <c r="HU1" t="e">
        <f>AND('CI for P'!G16,"AAAAAHW//+Q=")</f>
        <v>#VALUE!</v>
      </c>
      <c r="HV1" t="e">
        <f>AND('CI for P'!H16,"AAAAAHW//+U=")</f>
        <v>#VALUE!</v>
      </c>
      <c r="HW1" t="e">
        <f>AND('CI for P'!I16,"AAAAAHW//+Y=")</f>
        <v>#VALUE!</v>
      </c>
      <c r="HX1" t="e">
        <f>AND('CI for P'!J16,"AAAAAHW//+c=")</f>
        <v>#VALUE!</v>
      </c>
      <c r="HY1">
        <f>IF('CI for P'!17:17,"AAAAAHW//+g=",0)</f>
        <v>0</v>
      </c>
      <c r="HZ1" t="e">
        <f>AND('CI for P'!B17,"AAAAAHW//+k=")</f>
        <v>#VALUE!</v>
      </c>
      <c r="IA1" t="e">
        <f>AND('CI for P'!C17,"AAAAAHW//+o=")</f>
        <v>#VALUE!</v>
      </c>
      <c r="IB1" t="e">
        <f>AND('CI for P'!#REF!,"AAAAAHW//+s=")</f>
        <v>#REF!</v>
      </c>
      <c r="IC1" t="e">
        <f>AND('CI for P'!E17,"AAAAAHW//+w=")</f>
        <v>#VALUE!</v>
      </c>
      <c r="ID1" t="e">
        <f>AND('CI for P'!F17,"AAAAAHW//+0=")</f>
        <v>#VALUE!</v>
      </c>
      <c r="IE1" t="e">
        <f>AND('CI for P'!G17,"AAAAAHW//+4=")</f>
        <v>#VALUE!</v>
      </c>
      <c r="IF1" t="e">
        <f>AND('CI for P'!H17,"AAAAAHW//+8=")</f>
        <v>#VALUE!</v>
      </c>
      <c r="IG1" t="e">
        <f>AND('CI for P'!I17,"AAAAAHW///A=")</f>
        <v>#VALUE!</v>
      </c>
      <c r="IH1" t="e">
        <f>AND('CI for P'!J17,"AAAAAHW///E=")</f>
        <v>#VALUE!</v>
      </c>
      <c r="II1">
        <f>IF('CI for P'!18:18,"AAAAAHW///I=",0)</f>
        <v>0</v>
      </c>
      <c r="IJ1" t="e">
        <f>AND('CI for P'!B18,"AAAAAHW///M=")</f>
        <v>#VALUE!</v>
      </c>
      <c r="IK1" t="e">
        <f>AND('CI for P'!C18,"AAAAAHW///Q=")</f>
        <v>#VALUE!</v>
      </c>
      <c r="IL1" t="e">
        <f>AND('CI for P'!D18,"AAAAAHW///U=")</f>
        <v>#VALUE!</v>
      </c>
      <c r="IM1" t="e">
        <f>AND('CI for P'!E18,"AAAAAHW///Y=")</f>
        <v>#VALUE!</v>
      </c>
      <c r="IN1" t="e">
        <f>AND('CI for P'!F18,"AAAAAHW///c=")</f>
        <v>#VALUE!</v>
      </c>
      <c r="IO1" t="e">
        <f>AND('CI for P'!G18,"AAAAAHW///g=")</f>
        <v>#VALUE!</v>
      </c>
      <c r="IP1" t="e">
        <f>AND('CI for P'!H18,"AAAAAHW///k=")</f>
        <v>#VALUE!</v>
      </c>
      <c r="IQ1" t="e">
        <f>AND('CI for P'!I18,"AAAAAHW///o=")</f>
        <v>#VALUE!</v>
      </c>
      <c r="IR1" t="e">
        <f>AND('CI for P'!J18,"AAAAAHW///s=")</f>
        <v>#VALUE!</v>
      </c>
      <c r="IS1">
        <f>IF('CI for P'!19:19,"AAAAAHW///w=",0)</f>
        <v>0</v>
      </c>
      <c r="IT1" t="e">
        <f>AND('CI for P'!B19,"AAAAAHW///0=")</f>
        <v>#VALUE!</v>
      </c>
      <c r="IU1" t="e">
        <f>AND('CI for P'!C19,"AAAAAHW///4=")</f>
        <v>#VALUE!</v>
      </c>
      <c r="IV1" t="e">
        <f>AND('CI for P'!D19,"AAAAAHW///8=")</f>
        <v>#VALUE!</v>
      </c>
    </row>
    <row r="2" spans="1:256" ht="15.75">
      <c r="A2" t="e">
        <f>AND('CI for P'!E19,"AAAAAHvr2wA=")</f>
        <v>#VALUE!</v>
      </c>
      <c r="B2" t="e">
        <f>AND('CI for P'!F19,"AAAAAHvr2wE=")</f>
        <v>#VALUE!</v>
      </c>
      <c r="C2" t="e">
        <f>AND('CI for P'!G19,"AAAAAHvr2wI=")</f>
        <v>#VALUE!</v>
      </c>
      <c r="D2" t="e">
        <f>AND('CI for P'!H19,"AAAAAHvr2wM=")</f>
        <v>#VALUE!</v>
      </c>
      <c r="E2" t="e">
        <f>AND('CI for P'!I19,"AAAAAHvr2wQ=")</f>
        <v>#VALUE!</v>
      </c>
      <c r="F2" t="e">
        <f>AND('CI for P'!J19,"AAAAAHvr2wU=")</f>
        <v>#VALUE!</v>
      </c>
      <c r="G2">
        <f>IF('CI for P'!20:20,"AAAAAHvr2wY=",0)</f>
        <v>0</v>
      </c>
      <c r="H2" t="e">
        <f>AND('CI for P'!#REF!,"AAAAAHvr2wc=")</f>
        <v>#REF!</v>
      </c>
      <c r="I2" t="e">
        <f>AND('CI for P'!#REF!,"AAAAAHvr2wg=")</f>
        <v>#REF!</v>
      </c>
      <c r="J2" t="e">
        <f>AND('CI for P'!#REF!,"AAAAAHvr2wk=")</f>
        <v>#REF!</v>
      </c>
      <c r="K2" t="e">
        <f>AND('CI for P'!#REF!,"AAAAAHvr2wo=")</f>
        <v>#REF!</v>
      </c>
      <c r="L2" t="e">
        <f>AND('CI for P'!#REF!,"AAAAAHvr2ws=")</f>
        <v>#REF!</v>
      </c>
      <c r="M2" t="e">
        <f>AND('CI for P'!#REF!,"AAAAAHvr2ww=")</f>
        <v>#REF!</v>
      </c>
      <c r="N2" t="e">
        <f>AND('CI for P'!#REF!,"AAAAAHvr2w0=")</f>
        <v>#REF!</v>
      </c>
      <c r="O2" t="e">
        <f>AND('CI for P'!I20,"AAAAAHvr2w4=")</f>
        <v>#VALUE!</v>
      </c>
      <c r="P2" t="e">
        <f>AND('CI for P'!J20,"AAAAAHvr2w8=")</f>
        <v>#VALUE!</v>
      </c>
      <c r="Q2">
        <f>IF('CI for P'!21:21,"AAAAAHvr2xA=",0)</f>
        <v>0</v>
      </c>
      <c r="R2" t="e">
        <f>AND('CI for P'!#REF!,"AAAAAHvr2xE=")</f>
        <v>#REF!</v>
      </c>
      <c r="S2" t="e">
        <f>AND('CI for P'!#REF!,"AAAAAHvr2xI=")</f>
        <v>#REF!</v>
      </c>
      <c r="T2" t="e">
        <f>AND('CI for P'!#REF!,"AAAAAHvr2xM=")</f>
        <v>#REF!</v>
      </c>
      <c r="U2" t="e">
        <f>AND('CI for P'!#REF!,"AAAAAHvr2xQ=")</f>
        <v>#REF!</v>
      </c>
      <c r="V2" t="e">
        <f>AND('CI for P'!#REF!,"AAAAAHvr2xU=")</f>
        <v>#REF!</v>
      </c>
      <c r="W2" t="e">
        <f>AND('CI for P'!#REF!,"AAAAAHvr2xY=")</f>
        <v>#REF!</v>
      </c>
      <c r="X2" t="e">
        <f>AND('CI for P'!#REF!,"AAAAAHvr2xc=")</f>
        <v>#REF!</v>
      </c>
      <c r="Y2" t="e">
        <f>AND('CI for P'!I21,"AAAAAHvr2xg=")</f>
        <v>#VALUE!</v>
      </c>
      <c r="Z2" t="e">
        <f>AND('CI for P'!J21,"AAAAAHvr2xk=")</f>
        <v>#VALUE!</v>
      </c>
      <c r="AA2">
        <f>IF('CI for P'!22:22,"AAAAAHvr2xo=",0)</f>
        <v>0</v>
      </c>
      <c r="AB2" t="e">
        <f>AND('CI for P'!#REF!,"AAAAAHvr2xs=")</f>
        <v>#REF!</v>
      </c>
      <c r="AC2" t="e">
        <f>AND('CI for P'!#REF!,"AAAAAHvr2xw=")</f>
        <v>#REF!</v>
      </c>
      <c r="AD2" t="e">
        <f>AND('CI for P'!#REF!,"AAAAAHvr2x0=")</f>
        <v>#REF!</v>
      </c>
      <c r="AE2" t="e">
        <f>AND('CI for P'!#REF!,"AAAAAHvr2x4=")</f>
        <v>#REF!</v>
      </c>
      <c r="AF2" t="e">
        <f>AND('CI for P'!#REF!,"AAAAAHvr2x8=")</f>
        <v>#REF!</v>
      </c>
      <c r="AG2" t="e">
        <f>AND('CI for P'!#REF!,"AAAAAHvr2yA=")</f>
        <v>#REF!</v>
      </c>
      <c r="AH2" t="e">
        <f>AND('CI for P'!#REF!,"AAAAAHvr2yE=")</f>
        <v>#REF!</v>
      </c>
      <c r="AI2" t="e">
        <f>AND('CI for P'!I22,"AAAAAHvr2yI=")</f>
        <v>#VALUE!</v>
      </c>
      <c r="AJ2" t="e">
        <f>AND('CI for P'!J22,"AAAAAHvr2yM=")</f>
        <v>#VALUE!</v>
      </c>
      <c r="AK2">
        <f>IF('CI for P'!23:23,"AAAAAHvr2yQ=",0)</f>
        <v>0</v>
      </c>
      <c r="AL2" t="e">
        <f>AND('CI for P'!B20,"AAAAAHvr2yU=")</f>
        <v>#VALUE!</v>
      </c>
      <c r="AM2" t="e">
        <f>AND('CI for P'!C20,"AAAAAHvr2yY=")</f>
        <v>#VALUE!</v>
      </c>
      <c r="AN2" t="e">
        <f>AND('CI for P'!D20,"AAAAAHvr2yc=")</f>
        <v>#VALUE!</v>
      </c>
      <c r="AO2" t="e">
        <f>AND('CI for P'!E20,"AAAAAHvr2yg=")</f>
        <v>#VALUE!</v>
      </c>
      <c r="AP2" t="e">
        <f>AND('CI for P'!F20,"AAAAAHvr2yk=")</f>
        <v>#VALUE!</v>
      </c>
      <c r="AQ2" t="e">
        <f>AND('CI for P'!G20,"AAAAAHvr2yo=")</f>
        <v>#VALUE!</v>
      </c>
      <c r="AR2" t="e">
        <f>AND('CI for P'!H20,"AAAAAHvr2ys=")</f>
        <v>#VALUE!</v>
      </c>
      <c r="AS2" t="e">
        <f>AND('CI for P'!I23,"AAAAAHvr2yw=")</f>
        <v>#VALUE!</v>
      </c>
      <c r="AT2" t="e">
        <f>AND('CI for P'!J23,"AAAAAHvr2y0=")</f>
        <v>#VALUE!</v>
      </c>
      <c r="AU2">
        <f>IF('CI for P'!24:24,"AAAAAHvr2y4=",0)</f>
        <v>0</v>
      </c>
      <c r="AV2" t="e">
        <f>AND('CI for P'!B21,"AAAAAHvr2y8=")</f>
        <v>#VALUE!</v>
      </c>
      <c r="AW2" t="e">
        <f>AND('CI for P'!C21,"AAAAAHvr2zA=")</f>
        <v>#VALUE!</v>
      </c>
      <c r="AX2" t="e">
        <f>AND('CI for P'!D21,"AAAAAHvr2zE=")</f>
        <v>#VALUE!</v>
      </c>
      <c r="AY2" t="e">
        <f>AND('CI for P'!E21,"AAAAAHvr2zI=")</f>
        <v>#VALUE!</v>
      </c>
      <c r="AZ2" t="e">
        <f>AND('CI for P'!F21,"AAAAAHvr2zM=")</f>
        <v>#VALUE!</v>
      </c>
      <c r="BA2" t="e">
        <f>AND('CI for P'!G21,"AAAAAHvr2zQ=")</f>
        <v>#VALUE!</v>
      </c>
      <c r="BB2" t="e">
        <f>AND('CI for P'!H21,"AAAAAHvr2zU=")</f>
        <v>#VALUE!</v>
      </c>
      <c r="BC2" t="e">
        <f>AND('CI for P'!I24,"AAAAAHvr2zY=")</f>
        <v>#VALUE!</v>
      </c>
      <c r="BD2" t="e">
        <f>AND('CI for P'!J24,"AAAAAHvr2zc=")</f>
        <v>#VALUE!</v>
      </c>
      <c r="BE2">
        <f>IF('CI for P'!25:25,"AAAAAHvr2zg=",0)</f>
        <v>0</v>
      </c>
      <c r="BF2" t="e">
        <f>AND('CI for P'!B22,"AAAAAHvr2zk=")</f>
        <v>#VALUE!</v>
      </c>
      <c r="BG2" t="e">
        <f>AND('CI for P'!C22,"AAAAAHvr2zo=")</f>
        <v>#VALUE!</v>
      </c>
      <c r="BH2" t="e">
        <f>AND('CI for P'!D22,"AAAAAHvr2zs=")</f>
        <v>#VALUE!</v>
      </c>
      <c r="BI2" t="e">
        <f>AND('CI for P'!E22,"AAAAAHvr2zw=")</f>
        <v>#VALUE!</v>
      </c>
      <c r="BJ2" t="e">
        <f>AND('CI for P'!F22,"AAAAAHvr2z0=")</f>
        <v>#VALUE!</v>
      </c>
      <c r="BK2" t="e">
        <f>AND('CI for P'!G22,"AAAAAHvr2z4=")</f>
        <v>#VALUE!</v>
      </c>
      <c r="BL2" t="e">
        <f>AND('CI for P'!H22,"AAAAAHvr2z8=")</f>
        <v>#VALUE!</v>
      </c>
      <c r="BM2" t="e">
        <f>AND('CI for P'!I25,"AAAAAHvr20A=")</f>
        <v>#VALUE!</v>
      </c>
      <c r="BN2" t="e">
        <f>AND('CI for P'!J25,"AAAAAHvr20E=")</f>
        <v>#VALUE!</v>
      </c>
      <c r="BO2">
        <f>IF('CI for P'!26:26,"AAAAAHvr20I=",0)</f>
        <v>0</v>
      </c>
      <c r="BP2" t="e">
        <f>AND('CI for P'!B23,"AAAAAHvr20M=")</f>
        <v>#VALUE!</v>
      </c>
      <c r="BQ2" t="e">
        <f>AND('CI for P'!C23,"AAAAAHvr20Q=")</f>
        <v>#VALUE!</v>
      </c>
      <c r="BR2" t="e">
        <f>AND('CI for P'!D23,"AAAAAHvr20U=")</f>
        <v>#VALUE!</v>
      </c>
      <c r="BS2" t="e">
        <f>AND('CI for P'!E23,"AAAAAHvr20Y=")</f>
        <v>#VALUE!</v>
      </c>
      <c r="BT2" t="e">
        <f>AND('CI for P'!F23,"AAAAAHvr20c=")</f>
        <v>#VALUE!</v>
      </c>
      <c r="BU2" t="e">
        <f>AND('CI for P'!G23,"AAAAAHvr20g=")</f>
        <v>#VALUE!</v>
      </c>
      <c r="BV2" t="e">
        <f>AND('CI for P'!H23,"AAAAAHvr20k=")</f>
        <v>#VALUE!</v>
      </c>
      <c r="BW2" t="e">
        <f>AND('CI for P'!I26,"AAAAAHvr20o=")</f>
        <v>#VALUE!</v>
      </c>
      <c r="BX2" t="e">
        <f>AND('CI for P'!J26,"AAAAAHvr20s=")</f>
        <v>#VALUE!</v>
      </c>
      <c r="BY2">
        <f>IF('CI for P'!27:27,"AAAAAHvr20w=",0)</f>
        <v>0</v>
      </c>
      <c r="BZ2">
        <f>IF('CI for P'!A:A,"AAAAAHvr200=",0)</f>
        <v>0</v>
      </c>
      <c r="CA2">
        <f>IF('CI for P'!B:B,"AAAAAHvr204=",0)</f>
        <v>0</v>
      </c>
      <c r="CB2">
        <f>IF('CI for P'!C:C,"AAAAAHvr208=",0)</f>
        <v>0</v>
      </c>
      <c r="CC2">
        <f>IF('CI for P'!D:D,"AAAAAHvr21A=",0)</f>
        <v>0</v>
      </c>
      <c r="CD2">
        <f>IF('CI for P'!E:E,"AAAAAHvr21E=",0)</f>
        <v>0</v>
      </c>
      <c r="CE2">
        <f>IF('CI for P'!F:F,"AAAAAHvr21I=",0)</f>
        <v>0</v>
      </c>
      <c r="CF2">
        <f>IF('CI for P'!G:G,"AAAAAHvr21M=",0)</f>
        <v>0</v>
      </c>
      <c r="CG2">
        <f>IF('CI for P'!H:H,"AAAAAHvr21Q=",0)</f>
        <v>0</v>
      </c>
      <c r="CH2">
        <f>IF('CI for P'!I:I,"AAAAAHvr21U=",0)</f>
        <v>0</v>
      </c>
      <c r="CI2">
        <f>IF('CI for P'!J:J,"AAAAAHvr21Y=",0)</f>
        <v>0</v>
      </c>
      <c r="CJ2">
        <f>IF('N for MR'!1:1,"AAAAAHvr21c=",0)</f>
        <v>0</v>
      </c>
      <c r="CK2" t="e">
        <f>AND('N for MR'!C1,"AAAAAHvr21g=")</f>
        <v>#VALUE!</v>
      </c>
      <c r="CL2" t="e">
        <f>AND('N for MR'!D1,"AAAAAHvr21k=")</f>
        <v>#VALUE!</v>
      </c>
      <c r="CM2" t="e">
        <f>AND('N for MR'!E1,"AAAAAHvr21o=")</f>
        <v>#VALUE!</v>
      </c>
      <c r="CN2" t="e">
        <f>AND('N for MR'!F1,"AAAAAHvr21s=")</f>
        <v>#VALUE!</v>
      </c>
      <c r="CO2" t="e">
        <f>AND('N for MR'!G1,"AAAAAHvr21w=")</f>
        <v>#VALUE!</v>
      </c>
      <c r="CP2" t="e">
        <f>AND('N for MR'!H1,"AAAAAHvr210=")</f>
        <v>#VALUE!</v>
      </c>
      <c r="CQ2" t="e">
        <f>AND('N for MR'!I1,"AAAAAHvr214=")</f>
        <v>#VALUE!</v>
      </c>
      <c r="CR2" t="e">
        <f>AND('N for MR'!J1,"AAAAAHvr218=")</f>
        <v>#VALUE!</v>
      </c>
      <c r="CS2" t="e">
        <f>AND('N for MR'!K1,"AAAAAHvr22A=")</f>
        <v>#VALUE!</v>
      </c>
      <c r="CT2" t="e">
        <f>AND('N for MR'!L1,"AAAAAHvr22E=")</f>
        <v>#VALUE!</v>
      </c>
      <c r="CU2" t="e">
        <f>AND('N for MR'!M1,"AAAAAHvr22I=")</f>
        <v>#VALUE!</v>
      </c>
      <c r="CV2">
        <f>IF('N for MR'!2:2,"AAAAAHvr22M=",0)</f>
        <v>0</v>
      </c>
      <c r="CW2" t="e">
        <f>AND('N for MR'!C2,"AAAAAHvr22Q=")</f>
        <v>#VALUE!</v>
      </c>
      <c r="CX2" t="e">
        <f>AND('N for MR'!D2,"AAAAAHvr22U=")</f>
        <v>#VALUE!</v>
      </c>
      <c r="CY2" t="e">
        <f>AND('N for MR'!E2,"AAAAAHvr22Y=")</f>
        <v>#VALUE!</v>
      </c>
      <c r="CZ2" t="e">
        <f>AND('N for MR'!F2,"AAAAAHvr22c=")</f>
        <v>#VALUE!</v>
      </c>
      <c r="DA2" t="e">
        <f>AND('N for MR'!G2,"AAAAAHvr22g=")</f>
        <v>#VALUE!</v>
      </c>
      <c r="DB2" t="e">
        <f>AND('N for MR'!H2,"AAAAAHvr22k=")</f>
        <v>#VALUE!</v>
      </c>
      <c r="DC2" t="e">
        <f>AND('N for MR'!I2,"AAAAAHvr22o=")</f>
        <v>#VALUE!</v>
      </c>
      <c r="DD2" t="e">
        <f>AND('N for MR'!J2,"AAAAAHvr22s=")</f>
        <v>#VALUE!</v>
      </c>
      <c r="DE2" t="e">
        <f>AND('N for MR'!K2,"AAAAAHvr22w=")</f>
        <v>#VALUE!</v>
      </c>
      <c r="DF2" t="e">
        <f>AND('N for MR'!L2,"AAAAAHvr220=")</f>
        <v>#VALUE!</v>
      </c>
      <c r="DG2" t="e">
        <f>AND('N for MR'!M2,"AAAAAHvr224=")</f>
        <v>#VALUE!</v>
      </c>
      <c r="DH2">
        <f>IF('N for MR'!3:3,"AAAAAHvr228=",0)</f>
        <v>0</v>
      </c>
      <c r="DI2" t="e">
        <f>AND('N for MR'!C3,"AAAAAHvr23A=")</f>
        <v>#VALUE!</v>
      </c>
      <c r="DJ2" t="e">
        <f>AND('N for MR'!D3,"AAAAAHvr23E=")</f>
        <v>#VALUE!</v>
      </c>
      <c r="DK2" t="e">
        <f>AND('N for MR'!E3,"AAAAAHvr23I=")</f>
        <v>#VALUE!</v>
      </c>
      <c r="DL2" t="e">
        <f>AND('N for MR'!F3,"AAAAAHvr23M=")</f>
        <v>#VALUE!</v>
      </c>
      <c r="DM2" t="e">
        <f>AND('N for MR'!G3,"AAAAAHvr23Q=")</f>
        <v>#VALUE!</v>
      </c>
      <c r="DN2" t="e">
        <f>AND('N for MR'!H3,"AAAAAHvr23U=")</f>
        <v>#VALUE!</v>
      </c>
      <c r="DO2" t="e">
        <f>AND('N for MR'!I3,"AAAAAHvr23Y=")</f>
        <v>#VALUE!</v>
      </c>
      <c r="DP2" t="e">
        <f>AND('N for MR'!J3,"AAAAAHvr23c=")</f>
        <v>#VALUE!</v>
      </c>
      <c r="DQ2" t="e">
        <f>AND('N for MR'!K3,"AAAAAHvr23g=")</f>
        <v>#VALUE!</v>
      </c>
      <c r="DR2" t="e">
        <f>AND('N for MR'!L3,"AAAAAHvr23k=")</f>
        <v>#VALUE!</v>
      </c>
      <c r="DS2" t="e">
        <f>AND('N for MR'!M3,"AAAAAHvr23o=")</f>
        <v>#VALUE!</v>
      </c>
      <c r="DT2">
        <f>IF('N for MR'!4:4,"AAAAAHvr23s=",0)</f>
        <v>0</v>
      </c>
      <c r="DU2" t="e">
        <f>AND('N for MR'!C4,"AAAAAHvr23w=")</f>
        <v>#VALUE!</v>
      </c>
      <c r="DV2" t="e">
        <f>AND('N for MR'!D4,"AAAAAHvr230=")</f>
        <v>#VALUE!</v>
      </c>
      <c r="DW2" t="e">
        <f>AND('N for MR'!E4,"AAAAAHvr234=")</f>
        <v>#VALUE!</v>
      </c>
      <c r="DX2" t="e">
        <f>AND('N for MR'!F4,"AAAAAHvr238=")</f>
        <v>#VALUE!</v>
      </c>
      <c r="DY2" t="e">
        <f>AND('N for MR'!G4,"AAAAAHvr24A=")</f>
        <v>#VALUE!</v>
      </c>
      <c r="DZ2" t="e">
        <f>AND('N for MR'!H4,"AAAAAHvr24E=")</f>
        <v>#VALUE!</v>
      </c>
      <c r="EA2" t="e">
        <f>AND('N for MR'!I4,"AAAAAHvr24I=")</f>
        <v>#VALUE!</v>
      </c>
      <c r="EB2" t="e">
        <f>AND('N for MR'!J4,"AAAAAHvr24M=")</f>
        <v>#VALUE!</v>
      </c>
      <c r="EC2" t="e">
        <f>AND('N for MR'!K4,"AAAAAHvr24Q=")</f>
        <v>#VALUE!</v>
      </c>
      <c r="ED2" t="e">
        <f>AND('N for MR'!L4,"AAAAAHvr24U=")</f>
        <v>#VALUE!</v>
      </c>
      <c r="EE2" t="e">
        <f>AND('N for MR'!M4,"AAAAAHvr24Y=")</f>
        <v>#VALUE!</v>
      </c>
      <c r="EF2">
        <f>IF('N for MR'!5:5,"AAAAAHvr24c=",0)</f>
        <v>0</v>
      </c>
      <c r="EG2" t="e">
        <f>AND('N for MR'!C5,"AAAAAHvr24g=")</f>
        <v>#VALUE!</v>
      </c>
      <c r="EH2" t="e">
        <f>AND('N for MR'!D5,"AAAAAHvr24k=")</f>
        <v>#VALUE!</v>
      </c>
      <c r="EI2" t="e">
        <f>AND('N for MR'!E5,"AAAAAHvr24o=")</f>
        <v>#VALUE!</v>
      </c>
      <c r="EJ2" t="e">
        <f>AND('N for MR'!F5,"AAAAAHvr24s=")</f>
        <v>#VALUE!</v>
      </c>
      <c r="EK2" t="e">
        <f>AND('N for MR'!G5,"AAAAAHvr24w=")</f>
        <v>#VALUE!</v>
      </c>
      <c r="EL2" t="e">
        <f>AND('N for MR'!H5,"AAAAAHvr240=")</f>
        <v>#VALUE!</v>
      </c>
      <c r="EM2" t="e">
        <f>AND('N for MR'!I5,"AAAAAHvr244=")</f>
        <v>#VALUE!</v>
      </c>
      <c r="EN2" t="e">
        <f>AND('N for MR'!J5,"AAAAAHvr248=")</f>
        <v>#VALUE!</v>
      </c>
      <c r="EO2" t="e">
        <f>AND('N for MR'!K5,"AAAAAHvr25A=")</f>
        <v>#VALUE!</v>
      </c>
      <c r="EP2" t="e">
        <f>AND('N for MR'!L5,"AAAAAHvr25E=")</f>
        <v>#VALUE!</v>
      </c>
      <c r="EQ2" t="e">
        <f>AND('N for MR'!M5,"AAAAAHvr25I=")</f>
        <v>#VALUE!</v>
      </c>
      <c r="ER2">
        <f>IF('N for MR'!6:6,"AAAAAHvr25M=",0)</f>
        <v>0</v>
      </c>
      <c r="ES2" t="e">
        <f>AND('N for MR'!C6,"AAAAAHvr25Q=")</f>
        <v>#VALUE!</v>
      </c>
      <c r="ET2" t="e">
        <f>AND('N for MR'!D6,"AAAAAHvr25U=")</f>
        <v>#VALUE!</v>
      </c>
      <c r="EU2" t="e">
        <f>AND('N for MR'!E6,"AAAAAHvr25Y=")</f>
        <v>#VALUE!</v>
      </c>
      <c r="EV2" t="e">
        <f>AND('N for MR'!F6,"AAAAAHvr25c=")</f>
        <v>#VALUE!</v>
      </c>
      <c r="EW2" t="e">
        <f>AND('N for MR'!G6,"AAAAAHvr25g=")</f>
        <v>#VALUE!</v>
      </c>
      <c r="EX2" t="e">
        <f>AND('N for MR'!H6,"AAAAAHvr25k=")</f>
        <v>#VALUE!</v>
      </c>
      <c r="EY2" t="e">
        <f>AND('N for MR'!I6,"AAAAAHvr25o=")</f>
        <v>#VALUE!</v>
      </c>
      <c r="EZ2" t="e">
        <f>AND('N for MR'!J6,"AAAAAHvr25s=")</f>
        <v>#VALUE!</v>
      </c>
      <c r="FA2" t="e">
        <f>AND('N for MR'!K6,"AAAAAHvr25w=")</f>
        <v>#VALUE!</v>
      </c>
      <c r="FB2" t="e">
        <f>AND('N for MR'!L6,"AAAAAHvr250=")</f>
        <v>#VALUE!</v>
      </c>
      <c r="FC2" t="e">
        <f>AND('N for MR'!M6,"AAAAAHvr254=")</f>
        <v>#VALUE!</v>
      </c>
      <c r="FD2">
        <f>IF('N for MR'!7:7,"AAAAAHvr258=",0)</f>
        <v>0</v>
      </c>
      <c r="FE2" t="e">
        <f>AND('N for MR'!C7,"AAAAAHvr26A=")</f>
        <v>#VALUE!</v>
      </c>
      <c r="FF2" t="e">
        <f>AND('N for MR'!D7,"AAAAAHvr26E=")</f>
        <v>#VALUE!</v>
      </c>
      <c r="FG2" t="e">
        <f>AND('N for MR'!E7,"AAAAAHvr26I=")</f>
        <v>#VALUE!</v>
      </c>
      <c r="FH2" t="e">
        <f>AND('N for MR'!F7,"AAAAAHvr26M=")</f>
        <v>#VALUE!</v>
      </c>
      <c r="FI2" t="e">
        <f>AND('N for MR'!G7,"AAAAAHvr26Q=")</f>
        <v>#VALUE!</v>
      </c>
      <c r="FJ2" t="e">
        <f>AND('N for MR'!H7,"AAAAAHvr26U=")</f>
        <v>#VALUE!</v>
      </c>
      <c r="FK2" t="e">
        <f>AND('N for MR'!I7,"AAAAAHvr26Y=")</f>
        <v>#VALUE!</v>
      </c>
      <c r="FL2" t="e">
        <f>AND('N for MR'!J7,"AAAAAHvr26c=")</f>
        <v>#VALUE!</v>
      </c>
      <c r="FM2" t="e">
        <f>AND('N for MR'!K7,"AAAAAHvr26g=")</f>
        <v>#VALUE!</v>
      </c>
      <c r="FN2" t="e">
        <f>AND('N for MR'!L7,"AAAAAHvr26k=")</f>
        <v>#VALUE!</v>
      </c>
      <c r="FO2" t="e">
        <f>AND('N for MR'!M7,"AAAAAHvr26o=")</f>
        <v>#VALUE!</v>
      </c>
      <c r="FP2">
        <f>IF('N for MR'!8:8,"AAAAAHvr26s=",0)</f>
        <v>0</v>
      </c>
      <c r="FQ2" t="e">
        <f>AND('N for MR'!C8,"AAAAAHvr26w=")</f>
        <v>#VALUE!</v>
      </c>
      <c r="FR2" t="e">
        <f>AND('N for MR'!D8,"AAAAAHvr260=")</f>
        <v>#VALUE!</v>
      </c>
      <c r="FS2" t="e">
        <f>AND('N for MR'!E8,"AAAAAHvr264=")</f>
        <v>#VALUE!</v>
      </c>
      <c r="FT2" t="e">
        <f>AND('N for MR'!F8,"AAAAAHvr268=")</f>
        <v>#VALUE!</v>
      </c>
      <c r="FU2" t="e">
        <f>AND('N for MR'!G8,"AAAAAHvr27A=")</f>
        <v>#VALUE!</v>
      </c>
      <c r="FV2" t="e">
        <f>AND('N for MR'!H8,"AAAAAHvr27E=")</f>
        <v>#VALUE!</v>
      </c>
      <c r="FW2" t="e">
        <f>AND('N for MR'!I8,"AAAAAHvr27I=")</f>
        <v>#VALUE!</v>
      </c>
      <c r="FX2" t="e">
        <f>AND('N for MR'!J8,"AAAAAHvr27M=")</f>
        <v>#VALUE!</v>
      </c>
      <c r="FY2" t="e">
        <f>AND('N for MR'!K8,"AAAAAHvr27Q=")</f>
        <v>#VALUE!</v>
      </c>
      <c r="FZ2" t="e">
        <f>AND('N for MR'!L8,"AAAAAHvr27U=")</f>
        <v>#VALUE!</v>
      </c>
      <c r="GA2" t="e">
        <f>AND('N for MR'!M8,"AAAAAHvr27Y=")</f>
        <v>#VALUE!</v>
      </c>
      <c r="GB2">
        <f>IF('N for MR'!9:9,"AAAAAHvr27c=",0)</f>
        <v>0</v>
      </c>
      <c r="GC2" t="e">
        <f>AND('N for MR'!C9,"AAAAAHvr27g=")</f>
        <v>#VALUE!</v>
      </c>
      <c r="GD2" t="e">
        <f>AND('N for MR'!D9,"AAAAAHvr27k=")</f>
        <v>#VALUE!</v>
      </c>
      <c r="GE2" t="e">
        <f>AND('N for MR'!E9,"AAAAAHvr27o=")</f>
        <v>#VALUE!</v>
      </c>
      <c r="GF2" t="e">
        <f>AND('N for MR'!F9,"AAAAAHvr27s=")</f>
        <v>#VALUE!</v>
      </c>
      <c r="GG2" t="e">
        <f>AND('N for MR'!G9,"AAAAAHvr27w=")</f>
        <v>#VALUE!</v>
      </c>
      <c r="GH2" t="e">
        <f>AND('N for MR'!H9,"AAAAAHvr270=")</f>
        <v>#VALUE!</v>
      </c>
      <c r="GI2" t="e">
        <f>AND('N for MR'!I9,"AAAAAHvr274=")</f>
        <v>#VALUE!</v>
      </c>
      <c r="GJ2" t="e">
        <f>AND('N for MR'!J9,"AAAAAHvr278=")</f>
        <v>#VALUE!</v>
      </c>
      <c r="GK2" t="e">
        <f>AND('N for MR'!K9,"AAAAAHvr28A=")</f>
        <v>#VALUE!</v>
      </c>
      <c r="GL2" t="e">
        <f>AND('N for MR'!L9,"AAAAAHvr28E=")</f>
        <v>#VALUE!</v>
      </c>
      <c r="GM2" t="e">
        <f>AND('N for MR'!M9,"AAAAAHvr28I=")</f>
        <v>#VALUE!</v>
      </c>
      <c r="GN2">
        <f>IF('N for MR'!10:10,"AAAAAHvr28M=",0)</f>
        <v>0</v>
      </c>
      <c r="GO2" t="e">
        <f>AND('N for MR'!C10,"AAAAAHvr28Q=")</f>
        <v>#VALUE!</v>
      </c>
      <c r="GP2" t="e">
        <f>AND('N for MR'!D10,"AAAAAHvr28U=")</f>
        <v>#VALUE!</v>
      </c>
      <c r="GQ2" t="e">
        <f>AND('N for MR'!E10,"AAAAAHvr28Y=")</f>
        <v>#VALUE!</v>
      </c>
      <c r="GR2" t="e">
        <f>AND('N for MR'!F10,"AAAAAHvr28c=")</f>
        <v>#VALUE!</v>
      </c>
      <c r="GS2" t="e">
        <f>AND('N for MR'!G10,"AAAAAHvr28g=")</f>
        <v>#VALUE!</v>
      </c>
      <c r="GT2" t="e">
        <f>AND('N for MR'!H10,"AAAAAHvr28k=")</f>
        <v>#VALUE!</v>
      </c>
      <c r="GU2" t="e">
        <f>AND('N for MR'!I10,"AAAAAHvr28o=")</f>
        <v>#VALUE!</v>
      </c>
      <c r="GV2" t="e">
        <f>AND('N for MR'!J10,"AAAAAHvr28s=")</f>
        <v>#VALUE!</v>
      </c>
      <c r="GW2" t="e">
        <f>AND('N for MR'!K10,"AAAAAHvr28w=")</f>
        <v>#VALUE!</v>
      </c>
      <c r="GX2" t="e">
        <f>AND('N for MR'!L10,"AAAAAHvr280=")</f>
        <v>#VALUE!</v>
      </c>
      <c r="GY2" t="e">
        <f>AND('N for MR'!M10,"AAAAAHvr284=")</f>
        <v>#VALUE!</v>
      </c>
      <c r="GZ2">
        <f>IF('N for MR'!11:11,"AAAAAHvr288=",0)</f>
        <v>0</v>
      </c>
      <c r="HA2" t="e">
        <f>AND('N for MR'!C11,"AAAAAHvr29A=")</f>
        <v>#VALUE!</v>
      </c>
      <c r="HB2" t="e">
        <f>AND('N for MR'!D11,"AAAAAHvr29E=")</f>
        <v>#VALUE!</v>
      </c>
      <c r="HC2" t="e">
        <f>AND('N for MR'!E11,"AAAAAHvr29I=")</f>
        <v>#VALUE!</v>
      </c>
      <c r="HD2" t="e">
        <f>AND('N for MR'!F11,"AAAAAHvr29M=")</f>
        <v>#VALUE!</v>
      </c>
      <c r="HE2" t="e">
        <f>AND('N for MR'!G11,"AAAAAHvr29Q=")</f>
        <v>#VALUE!</v>
      </c>
      <c r="HF2" t="e">
        <f>AND('N for MR'!H11,"AAAAAHvr29U=")</f>
        <v>#VALUE!</v>
      </c>
      <c r="HG2" t="e">
        <f>AND('N for MR'!I11,"AAAAAHvr29Y=")</f>
        <v>#VALUE!</v>
      </c>
      <c r="HH2" t="e">
        <f>AND('N for MR'!J11,"AAAAAHvr29c=")</f>
        <v>#VALUE!</v>
      </c>
      <c r="HI2" t="e">
        <f>AND('N for MR'!K11,"AAAAAHvr29g=")</f>
        <v>#VALUE!</v>
      </c>
      <c r="HJ2" t="e">
        <f>AND('N for MR'!L11,"AAAAAHvr29k=")</f>
        <v>#VALUE!</v>
      </c>
      <c r="HK2" t="e">
        <f>AND('N for MR'!M11,"AAAAAHvr29o=")</f>
        <v>#VALUE!</v>
      </c>
      <c r="HL2">
        <f>IF('N for MR'!12:12,"AAAAAHvr29s=",0)</f>
        <v>0</v>
      </c>
      <c r="HM2" t="e">
        <f>AND('N for MR'!C12,"AAAAAHvr29w=")</f>
        <v>#VALUE!</v>
      </c>
      <c r="HN2" t="e">
        <f>AND('N for MR'!D12,"AAAAAHvr290=")</f>
        <v>#VALUE!</v>
      </c>
      <c r="HO2" t="e">
        <f>AND('N for MR'!E12,"AAAAAHvr294=")</f>
        <v>#VALUE!</v>
      </c>
      <c r="HP2" t="e">
        <f>AND('N for MR'!F12,"AAAAAHvr298=")</f>
        <v>#VALUE!</v>
      </c>
      <c r="HQ2" t="e">
        <f>AND('N for MR'!G12,"AAAAAHvr2+A=")</f>
        <v>#VALUE!</v>
      </c>
      <c r="HR2" t="e">
        <f>AND('N for MR'!H12,"AAAAAHvr2+E=")</f>
        <v>#VALUE!</v>
      </c>
      <c r="HS2" t="e">
        <f>AND('N for MR'!I12,"AAAAAHvr2+I=")</f>
        <v>#VALUE!</v>
      </c>
      <c r="HT2" t="e">
        <f>AND('N for MR'!J12,"AAAAAHvr2+M=")</f>
        <v>#VALUE!</v>
      </c>
      <c r="HU2" t="e">
        <f>AND('N for MR'!K12,"AAAAAHvr2+Q=")</f>
        <v>#VALUE!</v>
      </c>
      <c r="HV2" t="e">
        <f>AND('N for MR'!L12,"AAAAAHvr2+U=")</f>
        <v>#VALUE!</v>
      </c>
      <c r="HW2" t="e">
        <f>AND('N for MR'!M12,"AAAAAHvr2+Y=")</f>
        <v>#VALUE!</v>
      </c>
      <c r="HX2">
        <f>IF('N for MR'!13:13,"AAAAAHvr2+c=",0)</f>
        <v>0</v>
      </c>
      <c r="HY2" t="e">
        <f>AND('N for MR'!C13,"AAAAAHvr2+g=")</f>
        <v>#VALUE!</v>
      </c>
      <c r="HZ2" t="e">
        <f>AND('N for MR'!D13,"AAAAAHvr2+k=")</f>
        <v>#VALUE!</v>
      </c>
      <c r="IA2" t="e">
        <f>AND('N for MR'!E13,"AAAAAHvr2+o=")</f>
        <v>#VALUE!</v>
      </c>
      <c r="IB2" t="e">
        <f>AND('N for MR'!F13,"AAAAAHvr2+s=")</f>
        <v>#VALUE!</v>
      </c>
      <c r="IC2" t="e">
        <f>AND('N for MR'!G13,"AAAAAHvr2+w=")</f>
        <v>#VALUE!</v>
      </c>
      <c r="ID2" t="e">
        <f>AND('N for MR'!H13,"AAAAAHvr2+0=")</f>
        <v>#VALUE!</v>
      </c>
      <c r="IE2" t="e">
        <f>AND('N for MR'!I13,"AAAAAHvr2+4=")</f>
        <v>#VALUE!</v>
      </c>
      <c r="IF2" t="e">
        <f>AND('N for MR'!J13,"AAAAAHvr2+8=")</f>
        <v>#VALUE!</v>
      </c>
      <c r="IG2" t="e">
        <f>AND('N for MR'!K13,"AAAAAHvr2/A=")</f>
        <v>#VALUE!</v>
      </c>
      <c r="IH2" t="e">
        <f>AND('N for MR'!L13,"AAAAAHvr2/E=")</f>
        <v>#VALUE!</v>
      </c>
      <c r="II2" t="e">
        <f>AND('N for MR'!M13,"AAAAAHvr2/I=")</f>
        <v>#VALUE!</v>
      </c>
      <c r="IJ2">
        <f>IF('N for MR'!14:14,"AAAAAHvr2/M=",0)</f>
        <v>0</v>
      </c>
      <c r="IK2" t="e">
        <f>AND('N for MR'!C14,"AAAAAHvr2/Q=")</f>
        <v>#VALUE!</v>
      </c>
      <c r="IL2" t="e">
        <f>AND('N for MR'!D14,"AAAAAHvr2/U=")</f>
        <v>#VALUE!</v>
      </c>
      <c r="IM2" t="e">
        <f>AND('N for MR'!E14,"AAAAAHvr2/Y=")</f>
        <v>#VALUE!</v>
      </c>
      <c r="IN2" t="e">
        <f>AND('N for MR'!F14,"AAAAAHvr2/c=")</f>
        <v>#VALUE!</v>
      </c>
      <c r="IO2" t="e">
        <f>AND('N for MR'!G14,"AAAAAHvr2/g=")</f>
        <v>#VALUE!</v>
      </c>
      <c r="IP2" t="e">
        <f>AND('N for MR'!H14,"AAAAAHvr2/k=")</f>
        <v>#VALUE!</v>
      </c>
      <c r="IQ2" t="e">
        <f>AND('N for MR'!I14,"AAAAAHvr2/o=")</f>
        <v>#VALUE!</v>
      </c>
      <c r="IR2" t="e">
        <f>AND('N for MR'!J14,"AAAAAHvr2/s=")</f>
        <v>#VALUE!</v>
      </c>
      <c r="IS2" t="e">
        <f>AND('N for MR'!K14,"AAAAAHvr2/w=")</f>
        <v>#VALUE!</v>
      </c>
      <c r="IT2" t="e">
        <f>AND('N for MR'!L14,"AAAAAHvr2/0=")</f>
        <v>#VALUE!</v>
      </c>
      <c r="IU2" t="e">
        <f>AND('N for MR'!M14,"AAAAAHvr2/4=")</f>
        <v>#VALUE!</v>
      </c>
      <c r="IV2">
        <f>IF('N for MR'!15:15,"AAAAAHvr2/8=",0)</f>
        <v>0</v>
      </c>
    </row>
    <row r="3" spans="1:222" ht="15.75">
      <c r="A3" t="e">
        <f>AND('N for MR'!C15,"AAAAAEhO5QA=")</f>
        <v>#VALUE!</v>
      </c>
      <c r="B3" t="e">
        <f>AND('N for MR'!D15,"AAAAAEhO5QE=")</f>
        <v>#VALUE!</v>
      </c>
      <c r="C3" t="e">
        <f>AND('N for MR'!E15,"AAAAAEhO5QI=")</f>
        <v>#VALUE!</v>
      </c>
      <c r="D3" t="e">
        <f>AND('N for MR'!F15,"AAAAAEhO5QM=")</f>
        <v>#VALUE!</v>
      </c>
      <c r="E3" t="e">
        <f>AND('N for MR'!G15,"AAAAAEhO5QQ=")</f>
        <v>#VALUE!</v>
      </c>
      <c r="F3" t="e">
        <f>AND('N for MR'!H15,"AAAAAEhO5QU=")</f>
        <v>#VALUE!</v>
      </c>
      <c r="G3" t="e">
        <f>AND('N for MR'!I15,"AAAAAEhO5QY=")</f>
        <v>#VALUE!</v>
      </c>
      <c r="H3" t="e">
        <f>AND('N for MR'!J15,"AAAAAEhO5Qc=")</f>
        <v>#VALUE!</v>
      </c>
      <c r="I3" t="e">
        <f>AND('N for MR'!K15,"AAAAAEhO5Qg=")</f>
        <v>#VALUE!</v>
      </c>
      <c r="J3" t="e">
        <f>AND('N for MR'!L15,"AAAAAEhO5Qk=")</f>
        <v>#VALUE!</v>
      </c>
      <c r="K3" t="e">
        <f>AND('N for MR'!M15,"AAAAAEhO5Qo=")</f>
        <v>#VALUE!</v>
      </c>
      <c r="L3" t="str">
        <f>IF('N for MR'!16:16,"AAAAAEhO5Qs=",0)</f>
        <v>AAAAAEhO5Qs=</v>
      </c>
      <c r="M3" t="e">
        <f>AND('N for MR'!C16,"AAAAAEhO5Qw=")</f>
        <v>#VALUE!</v>
      </c>
      <c r="N3" t="e">
        <f>AND('N for MR'!D16,"AAAAAEhO5Q0=")</f>
        <v>#VALUE!</v>
      </c>
      <c r="O3" t="e">
        <f>AND('N for MR'!E16,"AAAAAEhO5Q4=")</f>
        <v>#VALUE!</v>
      </c>
      <c r="P3" t="e">
        <f>AND('N for MR'!F16,"AAAAAEhO5Q8=")</f>
        <v>#VALUE!</v>
      </c>
      <c r="Q3" t="e">
        <f>AND('N for MR'!G16,"AAAAAEhO5RA=")</f>
        <v>#VALUE!</v>
      </c>
      <c r="R3" t="e">
        <f>AND('N for MR'!H16,"AAAAAEhO5RE=")</f>
        <v>#VALUE!</v>
      </c>
      <c r="S3" t="e">
        <f>AND('N for MR'!I16,"AAAAAEhO5RI=")</f>
        <v>#VALUE!</v>
      </c>
      <c r="T3" t="e">
        <f>AND('N for MR'!J16,"AAAAAEhO5RM=")</f>
        <v>#VALUE!</v>
      </c>
      <c r="U3" t="e">
        <f>AND('N for MR'!K16,"AAAAAEhO5RQ=")</f>
        <v>#VALUE!</v>
      </c>
      <c r="V3" t="e">
        <f>AND('N for MR'!L16,"AAAAAEhO5RU=")</f>
        <v>#VALUE!</v>
      </c>
      <c r="W3" t="e">
        <f>AND('N for MR'!M16,"AAAAAEhO5RY=")</f>
        <v>#VALUE!</v>
      </c>
      <c r="X3">
        <f>IF('N for MR'!17:17,"AAAAAEhO5Rc=",0)</f>
        <v>0</v>
      </c>
      <c r="Y3" t="e">
        <f>AND('N for MR'!C17,"AAAAAEhO5Rg=")</f>
        <v>#VALUE!</v>
      </c>
      <c r="Z3" t="e">
        <f>AND('N for MR'!D17,"AAAAAEhO5Rk=")</f>
        <v>#VALUE!</v>
      </c>
      <c r="AA3" t="e">
        <f>AND('N for MR'!E17,"AAAAAEhO5Ro=")</f>
        <v>#VALUE!</v>
      </c>
      <c r="AB3" t="e">
        <f>AND('N for MR'!F17,"AAAAAEhO5Rs=")</f>
        <v>#VALUE!</v>
      </c>
      <c r="AC3" t="e">
        <f>AND('N for MR'!G17,"AAAAAEhO5Rw=")</f>
        <v>#VALUE!</v>
      </c>
      <c r="AD3" t="e">
        <f>AND('N for MR'!H17,"AAAAAEhO5R0=")</f>
        <v>#VALUE!</v>
      </c>
      <c r="AE3" t="e">
        <f>AND('N for MR'!I17,"AAAAAEhO5R4=")</f>
        <v>#VALUE!</v>
      </c>
      <c r="AF3" t="e">
        <f>AND('N for MR'!J17,"AAAAAEhO5R8=")</f>
        <v>#VALUE!</v>
      </c>
      <c r="AG3" t="e">
        <f>AND('N for MR'!K17,"AAAAAEhO5SA=")</f>
        <v>#VALUE!</v>
      </c>
      <c r="AH3" t="e">
        <f>AND('N for MR'!L17,"AAAAAEhO5SE=")</f>
        <v>#VALUE!</v>
      </c>
      <c r="AI3" t="e">
        <f>AND('N for MR'!M17,"AAAAAEhO5SI=")</f>
        <v>#VALUE!</v>
      </c>
      <c r="AJ3">
        <f>IF('N for MR'!A:A,"AAAAAEhO5SM=",0)</f>
        <v>0</v>
      </c>
      <c r="AK3">
        <f>IF('N for MR'!B:B,"AAAAAEhO5SQ=",0)</f>
        <v>0</v>
      </c>
      <c r="AL3" t="e">
        <f>IF('N for MR'!C:C,"AAAAAEhO5SU=",0)</f>
        <v>#VALUE!</v>
      </c>
      <c r="AM3">
        <f>IF('N for MR'!D:D,"AAAAAEhO5SY=",0)</f>
        <v>0</v>
      </c>
      <c r="AN3">
        <f>IF('N for MR'!E:E,"AAAAAEhO5Sc=",0)</f>
        <v>0</v>
      </c>
      <c r="AO3">
        <f>IF('N for MR'!F:F,"AAAAAEhO5Sg=",0)</f>
        <v>0</v>
      </c>
      <c r="AP3">
        <f>IF('N for MR'!G:G,"AAAAAEhO5Sk=",0)</f>
        <v>0</v>
      </c>
      <c r="AQ3">
        <f>IF('N for MR'!H:H,"AAAAAEhO5So=",0)</f>
        <v>0</v>
      </c>
      <c r="AR3">
        <f>IF('N for MR'!I:I,"AAAAAEhO5Ss=",0)</f>
        <v>0</v>
      </c>
      <c r="AS3">
        <f>IF('N for MR'!J:J,"AAAAAEhO5Sw=",0)</f>
        <v>0</v>
      </c>
      <c r="AT3">
        <f>IF('N for MR'!K:K,"AAAAAEhO5S0=",0)</f>
        <v>0</v>
      </c>
      <c r="AU3">
        <f>IF('N for MR'!L:L,"AAAAAEhO5S4=",0)</f>
        <v>0</v>
      </c>
      <c r="AV3">
        <f>IF('N for MR'!M:M,"AAAAAEhO5S8=",0)</f>
        <v>0</v>
      </c>
      <c r="AW3">
        <f>IF(Pooling!1:1,"AAAAAEhO5TA=",0)</f>
        <v>0</v>
      </c>
      <c r="AX3" t="e">
        <f>AND(Pooling!B1,"AAAAAEhO5TE=")</f>
        <v>#VALUE!</v>
      </c>
      <c r="AY3" t="e">
        <f>AND(Pooling!C1,"AAAAAEhO5TI=")</f>
        <v>#VALUE!</v>
      </c>
      <c r="AZ3" t="e">
        <f>AND(Pooling!D1,"AAAAAEhO5TM=")</f>
        <v>#VALUE!</v>
      </c>
      <c r="BA3" t="e">
        <f>AND(Pooling!E1,"AAAAAEhO5TQ=")</f>
        <v>#VALUE!</v>
      </c>
      <c r="BB3" t="e">
        <f>AND(Pooling!F1,"AAAAAEhO5TU=")</f>
        <v>#VALUE!</v>
      </c>
      <c r="BC3" t="e">
        <f>AND(Pooling!G1,"AAAAAEhO5TY=")</f>
        <v>#VALUE!</v>
      </c>
      <c r="BD3" t="e">
        <f>AND(Pooling!H1,"AAAAAEhO5Tc=")</f>
        <v>#VALUE!</v>
      </c>
      <c r="BE3" t="e">
        <f>AND(Pooling!I1,"AAAAAEhO5Tg=")</f>
        <v>#VALUE!</v>
      </c>
      <c r="BF3" t="e">
        <f>AND(Pooling!J1,"AAAAAEhO5Tk=")</f>
        <v>#VALUE!</v>
      </c>
      <c r="BG3" t="e">
        <f>AND(Pooling!K1,"AAAAAEhO5To=")</f>
        <v>#VALUE!</v>
      </c>
      <c r="BH3" t="e">
        <f>AND(Pooling!L1,"AAAAAEhO5Ts=")</f>
        <v>#VALUE!</v>
      </c>
      <c r="BI3" t="e">
        <f>AND(Pooling!M1,"AAAAAEhO5Tw=")</f>
        <v>#VALUE!</v>
      </c>
      <c r="BJ3">
        <f>IF(Pooling!2:2,"AAAAAEhO5T0=",0)</f>
        <v>0</v>
      </c>
      <c r="BK3" t="e">
        <f>AND(Pooling!B2,"AAAAAEhO5T4=")</f>
        <v>#VALUE!</v>
      </c>
      <c r="BL3" t="e">
        <f>AND(Pooling!C2,"AAAAAEhO5T8=")</f>
        <v>#VALUE!</v>
      </c>
      <c r="BM3" t="e">
        <f>AND(Pooling!D2,"AAAAAEhO5UA=")</f>
        <v>#VALUE!</v>
      </c>
      <c r="BN3" t="e">
        <f>AND(Pooling!E2,"AAAAAEhO5UE=")</f>
        <v>#VALUE!</v>
      </c>
      <c r="BO3" t="e">
        <f>AND(Pooling!F2,"AAAAAEhO5UI=")</f>
        <v>#VALUE!</v>
      </c>
      <c r="BP3" t="e">
        <f>AND(Pooling!G2,"AAAAAEhO5UM=")</f>
        <v>#VALUE!</v>
      </c>
      <c r="BQ3" t="e">
        <f>AND(Pooling!H2,"AAAAAEhO5UQ=")</f>
        <v>#VALUE!</v>
      </c>
      <c r="BR3" t="e">
        <f>AND(Pooling!I2,"AAAAAEhO5UU=")</f>
        <v>#VALUE!</v>
      </c>
      <c r="BS3" t="e">
        <f>AND(Pooling!J2,"AAAAAEhO5UY=")</f>
        <v>#VALUE!</v>
      </c>
      <c r="BT3" t="e">
        <f>AND(Pooling!K2,"AAAAAEhO5Uc=")</f>
        <v>#VALUE!</v>
      </c>
      <c r="BU3" t="e">
        <f>AND(Pooling!L2,"AAAAAEhO5Ug=")</f>
        <v>#VALUE!</v>
      </c>
      <c r="BV3" t="e">
        <f>AND(Pooling!M2,"AAAAAEhO5Uk=")</f>
        <v>#VALUE!</v>
      </c>
      <c r="BW3">
        <f>IF(Pooling!3:3,"AAAAAEhO5Uo=",0)</f>
        <v>0</v>
      </c>
      <c r="BX3" t="e">
        <f>AND(Pooling!B3,"AAAAAEhO5Us=")</f>
        <v>#VALUE!</v>
      </c>
      <c r="BY3" t="e">
        <f>AND(Pooling!C3,"AAAAAEhO5Uw=")</f>
        <v>#VALUE!</v>
      </c>
      <c r="BZ3" t="e">
        <f>AND(Pooling!D3,"AAAAAEhO5U0=")</f>
        <v>#VALUE!</v>
      </c>
      <c r="CA3" t="e">
        <f>AND(Pooling!E3,"AAAAAEhO5U4=")</f>
        <v>#VALUE!</v>
      </c>
      <c r="CB3" t="e">
        <f>AND(Pooling!F3,"AAAAAEhO5U8=")</f>
        <v>#VALUE!</v>
      </c>
      <c r="CC3" t="e">
        <f>AND(Pooling!G3,"AAAAAEhO5VA=")</f>
        <v>#VALUE!</v>
      </c>
      <c r="CD3" t="e">
        <f>AND(Pooling!H3,"AAAAAEhO5VE=")</f>
        <v>#VALUE!</v>
      </c>
      <c r="CE3" t="e">
        <f>AND(Pooling!I3,"AAAAAEhO5VI=")</f>
        <v>#VALUE!</v>
      </c>
      <c r="CF3" t="e">
        <f>AND(Pooling!J3,"AAAAAEhO5VM=")</f>
        <v>#VALUE!</v>
      </c>
      <c r="CG3" t="e">
        <f>AND(Pooling!K3,"AAAAAEhO5VQ=")</f>
        <v>#VALUE!</v>
      </c>
      <c r="CH3" t="e">
        <f>AND(Pooling!L3,"AAAAAEhO5VU=")</f>
        <v>#VALUE!</v>
      </c>
      <c r="CI3" t="e">
        <f>AND(Pooling!M3,"AAAAAEhO5VY=")</f>
        <v>#VALUE!</v>
      </c>
      <c r="CJ3">
        <f>IF(Pooling!4:4,"AAAAAEhO5Vc=",0)</f>
        <v>0</v>
      </c>
      <c r="CK3" t="e">
        <f>AND(Pooling!B4,"AAAAAEhO5Vg=")</f>
        <v>#VALUE!</v>
      </c>
      <c r="CL3" t="e">
        <f>AND(Pooling!C4,"AAAAAEhO5Vk=")</f>
        <v>#VALUE!</v>
      </c>
      <c r="CM3" t="e">
        <f>AND(Pooling!D4,"AAAAAEhO5Vo=")</f>
        <v>#VALUE!</v>
      </c>
      <c r="CN3" t="e">
        <f>AND(Pooling!E4,"AAAAAEhO5Vs=")</f>
        <v>#VALUE!</v>
      </c>
      <c r="CO3" t="e">
        <f>AND(Pooling!F4,"AAAAAEhO5Vw=")</f>
        <v>#VALUE!</v>
      </c>
      <c r="CP3" t="e">
        <f>AND(Pooling!G4,"AAAAAEhO5V0=")</f>
        <v>#VALUE!</v>
      </c>
      <c r="CQ3" t="e">
        <f>AND(Pooling!H4,"AAAAAEhO5V4=")</f>
        <v>#VALUE!</v>
      </c>
      <c r="CR3" t="e">
        <f>AND(Pooling!I4,"AAAAAEhO5V8=")</f>
        <v>#VALUE!</v>
      </c>
      <c r="CS3" t="e">
        <f>AND(Pooling!J4,"AAAAAEhO5WA=")</f>
        <v>#VALUE!</v>
      </c>
      <c r="CT3" t="e">
        <f>AND(Pooling!K4,"AAAAAEhO5WE=")</f>
        <v>#VALUE!</v>
      </c>
      <c r="CU3" t="e">
        <f>AND(Pooling!L4,"AAAAAEhO5WI=")</f>
        <v>#VALUE!</v>
      </c>
      <c r="CV3" t="e">
        <f>AND(Pooling!M4,"AAAAAEhO5WM=")</f>
        <v>#VALUE!</v>
      </c>
      <c r="CW3">
        <f>IF(Pooling!5:5,"AAAAAEhO5WQ=",0)</f>
        <v>0</v>
      </c>
      <c r="CX3" t="e">
        <f>AND(Pooling!B5,"AAAAAEhO5WU=")</f>
        <v>#VALUE!</v>
      </c>
      <c r="CY3" t="e">
        <f>AND(Pooling!C5,"AAAAAEhO5WY=")</f>
        <v>#VALUE!</v>
      </c>
      <c r="CZ3" t="e">
        <f>AND(Pooling!D5,"AAAAAEhO5Wc=")</f>
        <v>#VALUE!</v>
      </c>
      <c r="DA3" t="e">
        <f>AND(Pooling!E5,"AAAAAEhO5Wg=")</f>
        <v>#VALUE!</v>
      </c>
      <c r="DB3" t="e">
        <f>AND(Pooling!F5,"AAAAAEhO5Wk=")</f>
        <v>#VALUE!</v>
      </c>
      <c r="DC3" t="e">
        <f>AND(Pooling!G5,"AAAAAEhO5Wo=")</f>
        <v>#VALUE!</v>
      </c>
      <c r="DD3" t="e">
        <f>AND(Pooling!H5,"AAAAAEhO5Ws=")</f>
        <v>#VALUE!</v>
      </c>
      <c r="DE3" t="e">
        <f>AND(Pooling!I5,"AAAAAEhO5Ww=")</f>
        <v>#VALUE!</v>
      </c>
      <c r="DF3" t="e">
        <f>AND(Pooling!J5,"AAAAAEhO5W0=")</f>
        <v>#VALUE!</v>
      </c>
      <c r="DG3" t="e">
        <f>AND(Pooling!K5,"AAAAAEhO5W4=")</f>
        <v>#VALUE!</v>
      </c>
      <c r="DH3" t="e">
        <f>AND(Pooling!L5,"AAAAAEhO5W8=")</f>
        <v>#VALUE!</v>
      </c>
      <c r="DI3" t="e">
        <f>AND(Pooling!M5,"AAAAAEhO5XA=")</f>
        <v>#VALUE!</v>
      </c>
      <c r="DJ3">
        <f>IF(Pooling!6:6,"AAAAAEhO5XE=",0)</f>
        <v>0</v>
      </c>
      <c r="DK3" t="e">
        <f>AND(Pooling!B6,"AAAAAEhO5XI=")</f>
        <v>#VALUE!</v>
      </c>
      <c r="DL3" t="e">
        <f>AND(Pooling!C6,"AAAAAEhO5XM=")</f>
        <v>#VALUE!</v>
      </c>
      <c r="DM3" t="e">
        <f>AND(Pooling!D6,"AAAAAEhO5XQ=")</f>
        <v>#VALUE!</v>
      </c>
      <c r="DN3" t="e">
        <f>AND(Pooling!E6,"AAAAAEhO5XU=")</f>
        <v>#VALUE!</v>
      </c>
      <c r="DO3" t="e">
        <f>AND(Pooling!F6,"AAAAAEhO5XY=")</f>
        <v>#VALUE!</v>
      </c>
      <c r="DP3" t="e">
        <f>AND(Pooling!G6,"AAAAAEhO5Xc=")</f>
        <v>#VALUE!</v>
      </c>
      <c r="DQ3" t="e">
        <f>AND(Pooling!H6,"AAAAAEhO5Xg=")</f>
        <v>#VALUE!</v>
      </c>
      <c r="DR3" t="e">
        <f>AND(Pooling!I6,"AAAAAEhO5Xk=")</f>
        <v>#VALUE!</v>
      </c>
      <c r="DS3" t="e">
        <f>AND(Pooling!J6,"AAAAAEhO5Xo=")</f>
        <v>#VALUE!</v>
      </c>
      <c r="DT3" t="e">
        <f>AND(Pooling!K6,"AAAAAEhO5Xs=")</f>
        <v>#VALUE!</v>
      </c>
      <c r="DU3" t="e">
        <f>AND(Pooling!L6,"AAAAAEhO5Xw=")</f>
        <v>#VALUE!</v>
      </c>
      <c r="DV3" t="e">
        <f>AND(Pooling!M6,"AAAAAEhO5X0=")</f>
        <v>#VALUE!</v>
      </c>
      <c r="DW3">
        <f>IF(Pooling!7:7,"AAAAAEhO5X4=",0)</f>
        <v>0</v>
      </c>
      <c r="DX3" t="e">
        <f>AND(Pooling!B7,"AAAAAEhO5X8=")</f>
        <v>#VALUE!</v>
      </c>
      <c r="DY3" t="e">
        <f>AND(Pooling!C7,"AAAAAEhO5YA=")</f>
        <v>#VALUE!</v>
      </c>
      <c r="DZ3" t="e">
        <f>AND(Pooling!D7,"AAAAAEhO5YE=")</f>
        <v>#VALUE!</v>
      </c>
      <c r="EA3" t="e">
        <f>AND(Pooling!E7,"AAAAAEhO5YI=")</f>
        <v>#VALUE!</v>
      </c>
      <c r="EB3" t="e">
        <f>AND(Pooling!F7,"AAAAAEhO5YM=")</f>
        <v>#VALUE!</v>
      </c>
      <c r="EC3" t="e">
        <f>AND(Pooling!G7,"AAAAAEhO5YQ=")</f>
        <v>#VALUE!</v>
      </c>
      <c r="ED3" t="e">
        <f>AND(Pooling!H7,"AAAAAEhO5YU=")</f>
        <v>#VALUE!</v>
      </c>
      <c r="EE3" t="e">
        <f>AND(Pooling!I7,"AAAAAEhO5YY=")</f>
        <v>#VALUE!</v>
      </c>
      <c r="EF3" t="e">
        <f>AND(Pooling!J7,"AAAAAEhO5Yc=")</f>
        <v>#VALUE!</v>
      </c>
      <c r="EG3" t="e">
        <f>AND(Pooling!K7,"AAAAAEhO5Yg=")</f>
        <v>#VALUE!</v>
      </c>
      <c r="EH3" t="e">
        <f>AND(Pooling!L7,"AAAAAEhO5Yk=")</f>
        <v>#VALUE!</v>
      </c>
      <c r="EI3" t="e">
        <f>AND(Pooling!M7,"AAAAAEhO5Yo=")</f>
        <v>#VALUE!</v>
      </c>
      <c r="EJ3">
        <f>IF(Pooling!8:8,"AAAAAEhO5Ys=",0)</f>
        <v>0</v>
      </c>
      <c r="EK3" t="e">
        <f>AND(Pooling!B8,"AAAAAEhO5Yw=")</f>
        <v>#VALUE!</v>
      </c>
      <c r="EL3" t="e">
        <f>AND(Pooling!C8,"AAAAAEhO5Y0=")</f>
        <v>#VALUE!</v>
      </c>
      <c r="EM3" t="e">
        <f>AND(Pooling!D8,"AAAAAEhO5Y4=")</f>
        <v>#VALUE!</v>
      </c>
      <c r="EN3" t="e">
        <f>AND(Pooling!E8,"AAAAAEhO5Y8=")</f>
        <v>#VALUE!</v>
      </c>
      <c r="EO3" t="e">
        <f>AND(Pooling!F8,"AAAAAEhO5ZA=")</f>
        <v>#VALUE!</v>
      </c>
      <c r="EP3" t="e">
        <f>AND(Pooling!G8,"AAAAAEhO5ZE=")</f>
        <v>#VALUE!</v>
      </c>
      <c r="EQ3" t="e">
        <f>AND(Pooling!H8,"AAAAAEhO5ZI=")</f>
        <v>#VALUE!</v>
      </c>
      <c r="ER3" t="e">
        <f>AND(Pooling!I8,"AAAAAEhO5ZM=")</f>
        <v>#VALUE!</v>
      </c>
      <c r="ES3" t="e">
        <f>AND(Pooling!J8,"AAAAAEhO5ZQ=")</f>
        <v>#VALUE!</v>
      </c>
      <c r="ET3" t="e">
        <f>AND(Pooling!K8,"AAAAAEhO5ZU=")</f>
        <v>#VALUE!</v>
      </c>
      <c r="EU3" t="e">
        <f>AND(Pooling!L8,"AAAAAEhO5ZY=")</f>
        <v>#VALUE!</v>
      </c>
      <c r="EV3" t="e">
        <f>AND(Pooling!M8,"AAAAAEhO5Zc=")</f>
        <v>#VALUE!</v>
      </c>
      <c r="EW3">
        <f>IF(Pooling!9:9,"AAAAAEhO5Zg=",0)</f>
        <v>0</v>
      </c>
      <c r="EX3" t="e">
        <f>AND(Pooling!B9,"AAAAAEhO5Zk=")</f>
        <v>#VALUE!</v>
      </c>
      <c r="EY3" t="e">
        <f>AND(Pooling!C9,"AAAAAEhO5Zo=")</f>
        <v>#VALUE!</v>
      </c>
      <c r="EZ3" t="e">
        <f>AND(Pooling!D9,"AAAAAEhO5Zs=")</f>
        <v>#VALUE!</v>
      </c>
      <c r="FA3" t="e">
        <f>AND(Pooling!E9,"AAAAAEhO5Zw=")</f>
        <v>#VALUE!</v>
      </c>
      <c r="FB3" t="e">
        <f>AND(Pooling!F9,"AAAAAEhO5Z0=")</f>
        <v>#VALUE!</v>
      </c>
      <c r="FC3" t="e">
        <f>AND(Pooling!G9,"AAAAAEhO5Z4=")</f>
        <v>#VALUE!</v>
      </c>
      <c r="FD3" t="e">
        <f>AND(Pooling!H9,"AAAAAEhO5Z8=")</f>
        <v>#VALUE!</v>
      </c>
      <c r="FE3" t="e">
        <f>AND(Pooling!I9,"AAAAAEhO5aA=")</f>
        <v>#VALUE!</v>
      </c>
      <c r="FF3" t="e">
        <f>AND(Pooling!J9,"AAAAAEhO5aE=")</f>
        <v>#VALUE!</v>
      </c>
      <c r="FG3" t="e">
        <f>AND(Pooling!K9,"AAAAAEhO5aI=")</f>
        <v>#VALUE!</v>
      </c>
      <c r="FH3" t="e">
        <f>AND(Pooling!L9,"AAAAAEhO5aM=")</f>
        <v>#VALUE!</v>
      </c>
      <c r="FI3" t="e">
        <f>AND(Pooling!M9,"AAAAAEhO5aQ=")</f>
        <v>#VALUE!</v>
      </c>
      <c r="FJ3">
        <f>IF(Pooling!10:10,"AAAAAEhO5aU=",0)</f>
        <v>0</v>
      </c>
      <c r="FK3" t="e">
        <f>AND(Pooling!B10,"AAAAAEhO5aY=")</f>
        <v>#VALUE!</v>
      </c>
      <c r="FL3" t="e">
        <f>AND(Pooling!C10,"AAAAAEhO5ac=")</f>
        <v>#VALUE!</v>
      </c>
      <c r="FM3" t="e">
        <f>AND(Pooling!D10,"AAAAAEhO5ag=")</f>
        <v>#VALUE!</v>
      </c>
      <c r="FN3" t="e">
        <f>AND(Pooling!E10,"AAAAAEhO5ak=")</f>
        <v>#VALUE!</v>
      </c>
      <c r="FO3" t="e">
        <f>AND(Pooling!F10,"AAAAAEhO5ao=")</f>
        <v>#VALUE!</v>
      </c>
      <c r="FP3" t="e">
        <f>AND(Pooling!G10,"AAAAAEhO5as=")</f>
        <v>#VALUE!</v>
      </c>
      <c r="FQ3" t="e">
        <f>AND(Pooling!H10,"AAAAAEhO5aw=")</f>
        <v>#VALUE!</v>
      </c>
      <c r="FR3" t="e">
        <f>AND(Pooling!I10,"AAAAAEhO5a0=")</f>
        <v>#VALUE!</v>
      </c>
      <c r="FS3" t="e">
        <f>AND(Pooling!J10,"AAAAAEhO5a4=")</f>
        <v>#VALUE!</v>
      </c>
      <c r="FT3" t="e">
        <f>AND(Pooling!K10,"AAAAAEhO5a8=")</f>
        <v>#VALUE!</v>
      </c>
      <c r="FU3" t="e">
        <f>AND(Pooling!L10,"AAAAAEhO5bA=")</f>
        <v>#VALUE!</v>
      </c>
      <c r="FV3" t="e">
        <f>AND(Pooling!M10,"AAAAAEhO5bE=")</f>
        <v>#VALUE!</v>
      </c>
      <c r="FW3">
        <f>IF(Pooling!11:11,"AAAAAEhO5bI=",0)</f>
        <v>0</v>
      </c>
      <c r="FX3" t="e">
        <f>AND(Pooling!B11,"AAAAAEhO5bM=")</f>
        <v>#VALUE!</v>
      </c>
      <c r="FY3" t="e">
        <f>AND(Pooling!C11,"AAAAAEhO5bQ=")</f>
        <v>#VALUE!</v>
      </c>
      <c r="FZ3" t="e">
        <f>AND(Pooling!D11,"AAAAAEhO5bU=")</f>
        <v>#VALUE!</v>
      </c>
      <c r="GA3" t="e">
        <f>AND(Pooling!E11,"AAAAAEhO5bY=")</f>
        <v>#VALUE!</v>
      </c>
      <c r="GB3" t="e">
        <f>AND(Pooling!F11,"AAAAAEhO5bc=")</f>
        <v>#VALUE!</v>
      </c>
      <c r="GC3" t="e">
        <f>AND(Pooling!G11,"AAAAAEhO5bg=")</f>
        <v>#VALUE!</v>
      </c>
      <c r="GD3" t="e">
        <f>AND(Pooling!H11,"AAAAAEhO5bk=")</f>
        <v>#VALUE!</v>
      </c>
      <c r="GE3" t="e">
        <f>AND(Pooling!I11,"AAAAAEhO5bo=")</f>
        <v>#VALUE!</v>
      </c>
      <c r="GF3" t="e">
        <f>AND(Pooling!J11,"AAAAAEhO5bs=")</f>
        <v>#VALUE!</v>
      </c>
      <c r="GG3" t="e">
        <f>AND(Pooling!K11,"AAAAAEhO5bw=")</f>
        <v>#VALUE!</v>
      </c>
      <c r="GH3" t="e">
        <f>AND(Pooling!L11,"AAAAAEhO5b0=")</f>
        <v>#VALUE!</v>
      </c>
      <c r="GI3" t="e">
        <f>AND(Pooling!M11,"AAAAAEhO5b4=")</f>
        <v>#VALUE!</v>
      </c>
      <c r="GJ3">
        <f>IF(Pooling!12:12,"AAAAAEhO5b8=",0)</f>
        <v>0</v>
      </c>
      <c r="GK3" t="e">
        <f>AND(Pooling!B12,"AAAAAEhO5cA=")</f>
        <v>#VALUE!</v>
      </c>
      <c r="GL3" t="e">
        <f>AND(Pooling!C12,"AAAAAEhO5cE=")</f>
        <v>#VALUE!</v>
      </c>
      <c r="GM3" t="e">
        <f>AND(Pooling!D12,"AAAAAEhO5cI=")</f>
        <v>#VALUE!</v>
      </c>
      <c r="GN3" t="e">
        <f>AND(Pooling!E12,"AAAAAEhO5cM=")</f>
        <v>#VALUE!</v>
      </c>
      <c r="GO3" t="e">
        <f>AND(Pooling!F12,"AAAAAEhO5cQ=")</f>
        <v>#VALUE!</v>
      </c>
      <c r="GP3" t="e">
        <f>AND(Pooling!G12,"AAAAAEhO5cU=")</f>
        <v>#VALUE!</v>
      </c>
      <c r="GQ3" t="e">
        <f>AND(Pooling!H12,"AAAAAEhO5cY=")</f>
        <v>#VALUE!</v>
      </c>
      <c r="GR3" t="e">
        <f>AND(Pooling!I12,"AAAAAEhO5cc=")</f>
        <v>#VALUE!</v>
      </c>
      <c r="GS3" t="e">
        <f>AND(Pooling!J12,"AAAAAEhO5cg=")</f>
        <v>#VALUE!</v>
      </c>
      <c r="GT3" t="e">
        <f>AND(Pooling!K12,"AAAAAEhO5ck=")</f>
        <v>#VALUE!</v>
      </c>
      <c r="GU3" t="e">
        <f>AND(Pooling!L12,"AAAAAEhO5co=")</f>
        <v>#VALUE!</v>
      </c>
      <c r="GV3" t="e">
        <f>AND(Pooling!M12,"AAAAAEhO5cs=")</f>
        <v>#VALUE!</v>
      </c>
      <c r="GW3">
        <f>IF(Pooling!13:13,"AAAAAEhO5cw=",0)</f>
        <v>0</v>
      </c>
      <c r="GX3">
        <f>IF(Pooling!14:14,"AAAAAEhO5c0=",0)</f>
        <v>0</v>
      </c>
      <c r="GY3">
        <f>IF(Pooling!15:15,"AAAAAEhO5c4=",0)</f>
        <v>0</v>
      </c>
      <c r="GZ3">
        <f>IF(Pooling!A:A,"AAAAAEhO5c8=",0)</f>
        <v>0</v>
      </c>
      <c r="HA3">
        <f>IF(Pooling!B:B,"AAAAAEhO5dA=",0)</f>
        <v>0</v>
      </c>
      <c r="HB3">
        <f>IF(Pooling!C:C,"AAAAAEhO5dE=",0)</f>
        <v>0</v>
      </c>
      <c r="HC3">
        <f>IF(Pooling!D:D,"AAAAAEhO5dI=",0)</f>
        <v>0</v>
      </c>
      <c r="HD3">
        <f>IF(Pooling!E:E,"AAAAAEhO5dM=",0)</f>
        <v>0</v>
      </c>
      <c r="HE3">
        <f>IF(Pooling!F:F,"AAAAAEhO5dQ=",0)</f>
        <v>0</v>
      </c>
      <c r="HF3">
        <f>IF(Pooling!G:G,"AAAAAEhO5dU=",0)</f>
        <v>0</v>
      </c>
      <c r="HG3">
        <f>IF(Pooling!H:H,"AAAAAEhO5dY=",0)</f>
        <v>0</v>
      </c>
      <c r="HH3">
        <f>IF(Pooling!I:I,"AAAAAEhO5dc=",0)</f>
        <v>0</v>
      </c>
      <c r="HI3">
        <f>IF(Pooling!J:J,"AAAAAEhO5dg=",0)</f>
        <v>0</v>
      </c>
      <c r="HJ3">
        <f>IF(Pooling!K:K,"AAAAAEhO5dk=",0)</f>
        <v>0</v>
      </c>
      <c r="HK3">
        <f>IF(Pooling!L:L,"AAAAAEhO5do=",0)</f>
        <v>0</v>
      </c>
      <c r="HL3">
        <f>IF(Pooling!M:M,"AAAAAEhO5ds=",0)</f>
        <v>0</v>
      </c>
      <c r="HM3" t="s">
        <v>107</v>
      </c>
      <c r="HN3" t="e">
        <f>IF("N",_xlfn.T.DIST,"AAAAAEhO5d0=")</f>
        <v>#VALUE!</v>
      </c>
    </row>
    <row r="4" spans="1:256" ht="15.75">
      <c r="A4">
        <f>IF(MENU!1:1,"AAAAAG2t/QA=",0)</f>
        <v>0</v>
      </c>
      <c r="B4" t="e">
        <f>AND(MENU!D1,"AAAAAG2t/QE=")</f>
        <v>#VALUE!</v>
      </c>
      <c r="C4" t="e">
        <f>AND(MENU!E1,"AAAAAG2t/QI=")</f>
        <v>#VALUE!</v>
      </c>
      <c r="D4" t="e">
        <f>AND(MENU!F1,"AAAAAG2t/QM=")</f>
        <v>#VALUE!</v>
      </c>
      <c r="E4">
        <f>IF(MENU!2:2,"AAAAAG2t/QQ=",0)</f>
        <v>0</v>
      </c>
      <c r="F4" t="e">
        <f>AND(MENU!D2,"AAAAAG2t/QU=")</f>
        <v>#VALUE!</v>
      </c>
      <c r="G4" t="e">
        <f>AND(MENU!E2,"AAAAAG2t/QY=")</f>
        <v>#VALUE!</v>
      </c>
      <c r="H4" t="e">
        <f>AND(MENU!F2,"AAAAAG2t/Qc=")</f>
        <v>#VALUE!</v>
      </c>
      <c r="I4">
        <f>IF(MENU!A:A,"AAAAAG2t/Qg=",0)</f>
        <v>0</v>
      </c>
      <c r="J4">
        <f>IF(MENU!B:B,"AAAAAG2t/Qk=",0)</f>
        <v>0</v>
      </c>
      <c r="K4">
        <f>IF(MENU!C:C,"AAAAAG2t/Qo=",0)</f>
        <v>0</v>
      </c>
      <c r="L4">
        <f>IF(MENU!D:D,"AAAAAG2t/Qs=",0)</f>
        <v>0</v>
      </c>
      <c r="M4">
        <f>IF(MENU!E:E,"AAAAAG2t/Qw=",0)</f>
        <v>0</v>
      </c>
      <c r="N4">
        <f>IF(MENU!F:F,"AAAAAG2t/Q0=",0)</f>
        <v>0</v>
      </c>
      <c r="O4">
        <f>IF(Intro!1:1,"AAAAAG2t/Q4=",0)</f>
        <v>0</v>
      </c>
      <c r="P4" t="e">
        <f>AND(Intro!B1,"AAAAAG2t/Q8=")</f>
        <v>#VALUE!</v>
      </c>
      <c r="Q4" t="e">
        <f>AND(Intro!C1,"AAAAAG2t/RA=")</f>
        <v>#VALUE!</v>
      </c>
      <c r="R4" t="e">
        <f>AND(Intro!D1,"AAAAAG2t/RE=")</f>
        <v>#VALUE!</v>
      </c>
      <c r="S4" t="e">
        <f>AND(Intro!E1,"AAAAAG2t/RI=")</f>
        <v>#VALUE!</v>
      </c>
      <c r="T4" t="e">
        <f>AND(Intro!F1,"AAAAAG2t/RM=")</f>
        <v>#VALUE!</v>
      </c>
      <c r="U4" t="e">
        <f>AND(Intro!G1,"AAAAAG2t/RQ=")</f>
        <v>#VALUE!</v>
      </c>
      <c r="V4" t="e">
        <f>AND(Intro!H1,"AAAAAG2t/RU=")</f>
        <v>#VALUE!</v>
      </c>
      <c r="W4" t="e">
        <f>AND(Intro!I1,"AAAAAG2t/RY=")</f>
        <v>#VALUE!</v>
      </c>
      <c r="X4">
        <f>IF(Intro!2:2,"AAAAAG2t/Rc=",0)</f>
        <v>0</v>
      </c>
      <c r="Y4" t="e">
        <f>AND(Intro!B2,"AAAAAG2t/Rg=")</f>
        <v>#VALUE!</v>
      </c>
      <c r="Z4" t="e">
        <f>AND(Intro!C2,"AAAAAG2t/Rk=")</f>
        <v>#VALUE!</v>
      </c>
      <c r="AA4" t="e">
        <f>AND(Intro!D2,"AAAAAG2t/Ro=")</f>
        <v>#VALUE!</v>
      </c>
      <c r="AB4" t="e">
        <f>AND(Intro!E2,"AAAAAG2t/Rs=")</f>
        <v>#VALUE!</v>
      </c>
      <c r="AC4" t="e">
        <f>AND(Intro!F2,"AAAAAG2t/Rw=")</f>
        <v>#VALUE!</v>
      </c>
      <c r="AD4" t="e">
        <f>AND(Intro!G2,"AAAAAG2t/R0=")</f>
        <v>#VALUE!</v>
      </c>
      <c r="AE4" t="e">
        <f>AND(Intro!H2,"AAAAAG2t/R4=")</f>
        <v>#VALUE!</v>
      </c>
      <c r="AF4" t="e">
        <f>AND(Intro!I2,"AAAAAG2t/R8=")</f>
        <v>#VALUE!</v>
      </c>
      <c r="AG4">
        <f>IF(Intro!3:3,"AAAAAG2t/SA=",0)</f>
        <v>0</v>
      </c>
      <c r="AH4" t="e">
        <f>AND(Intro!B3,"AAAAAG2t/SE=")</f>
        <v>#VALUE!</v>
      </c>
      <c r="AI4" t="e">
        <f>AND(Intro!C3,"AAAAAG2t/SI=")</f>
        <v>#VALUE!</v>
      </c>
      <c r="AJ4" t="e">
        <f>AND(Intro!D3,"AAAAAG2t/SM=")</f>
        <v>#VALUE!</v>
      </c>
      <c r="AK4" t="e">
        <f>AND(Intro!E3,"AAAAAG2t/SQ=")</f>
        <v>#VALUE!</v>
      </c>
      <c r="AL4" t="e">
        <f>AND(Intro!F3,"AAAAAG2t/SU=")</f>
        <v>#VALUE!</v>
      </c>
      <c r="AM4" t="e">
        <f>AND(Intro!G3,"AAAAAG2t/SY=")</f>
        <v>#VALUE!</v>
      </c>
      <c r="AN4" t="e">
        <f>AND(Intro!H3,"AAAAAG2t/Sc=")</f>
        <v>#VALUE!</v>
      </c>
      <c r="AO4" t="e">
        <f>AND(Intro!I3,"AAAAAG2t/Sg=")</f>
        <v>#VALUE!</v>
      </c>
      <c r="AP4">
        <f>IF(Intro!4:4,"AAAAAG2t/Sk=",0)</f>
        <v>0</v>
      </c>
      <c r="AQ4" t="e">
        <f>AND(Intro!B4,"AAAAAG2t/So=")</f>
        <v>#VALUE!</v>
      </c>
      <c r="AR4" t="e">
        <f>AND(Intro!C4,"AAAAAG2t/Ss=")</f>
        <v>#VALUE!</v>
      </c>
      <c r="AS4" t="e">
        <f>AND(Intro!D4,"AAAAAG2t/Sw=")</f>
        <v>#VALUE!</v>
      </c>
      <c r="AT4" t="e">
        <f>AND(Intro!E4,"AAAAAG2t/S0=")</f>
        <v>#VALUE!</v>
      </c>
      <c r="AU4" t="e">
        <f>AND(Intro!F4,"AAAAAG2t/S4=")</f>
        <v>#VALUE!</v>
      </c>
      <c r="AV4" t="e">
        <f>AND(Intro!G4,"AAAAAG2t/S8=")</f>
        <v>#VALUE!</v>
      </c>
      <c r="AW4" t="e">
        <f>AND(Intro!H4,"AAAAAG2t/TA=")</f>
        <v>#VALUE!</v>
      </c>
      <c r="AX4" t="e">
        <f>AND(Intro!I4,"AAAAAG2t/TE=")</f>
        <v>#VALUE!</v>
      </c>
      <c r="AY4">
        <f>IF(Intro!5:5,"AAAAAG2t/TI=",0)</f>
        <v>0</v>
      </c>
      <c r="AZ4" t="e">
        <f>AND(Intro!B5,"AAAAAG2t/TM=")</f>
        <v>#VALUE!</v>
      </c>
      <c r="BA4" t="e">
        <f>AND(Intro!C5,"AAAAAG2t/TQ=")</f>
        <v>#VALUE!</v>
      </c>
      <c r="BB4" t="e">
        <f>AND(Intro!D5,"AAAAAG2t/TU=")</f>
        <v>#VALUE!</v>
      </c>
      <c r="BC4" t="e">
        <f>AND(Intro!E5,"AAAAAG2t/TY=")</f>
        <v>#VALUE!</v>
      </c>
      <c r="BD4" t="e">
        <f>AND(Intro!F5,"AAAAAG2t/Tc=")</f>
        <v>#VALUE!</v>
      </c>
      <c r="BE4" t="e">
        <f>AND(Intro!G5,"AAAAAG2t/Tg=")</f>
        <v>#VALUE!</v>
      </c>
      <c r="BF4" t="e">
        <f>AND(Intro!H5,"AAAAAG2t/Tk=")</f>
        <v>#VALUE!</v>
      </c>
      <c r="BG4" t="e">
        <f>AND(Intro!I5,"AAAAAG2t/To=")</f>
        <v>#VALUE!</v>
      </c>
      <c r="BH4">
        <f>IF(Intro!6:6,"AAAAAG2t/Ts=",0)</f>
        <v>0</v>
      </c>
      <c r="BI4" t="e">
        <f>AND(Intro!B6,"AAAAAG2t/Tw=")</f>
        <v>#VALUE!</v>
      </c>
      <c r="BJ4" t="e">
        <f>AND(Intro!C6,"AAAAAG2t/T0=")</f>
        <v>#VALUE!</v>
      </c>
      <c r="BK4" t="e">
        <f>AND(Intro!D6,"AAAAAG2t/T4=")</f>
        <v>#VALUE!</v>
      </c>
      <c r="BL4" t="e">
        <f>AND(Intro!E6,"AAAAAG2t/T8=")</f>
        <v>#VALUE!</v>
      </c>
      <c r="BM4" t="e">
        <f>AND(Intro!F6,"AAAAAG2t/UA=")</f>
        <v>#VALUE!</v>
      </c>
      <c r="BN4" t="e">
        <f>AND(Intro!G6,"AAAAAG2t/UE=")</f>
        <v>#VALUE!</v>
      </c>
      <c r="BO4" t="e">
        <f>AND(Intro!H6,"AAAAAG2t/UI=")</f>
        <v>#VALUE!</v>
      </c>
      <c r="BP4" t="e">
        <f>AND(Intro!I6,"AAAAAG2t/UM=")</f>
        <v>#VALUE!</v>
      </c>
      <c r="BQ4">
        <f>IF(Intro!7:7,"AAAAAG2t/UQ=",0)</f>
        <v>0</v>
      </c>
      <c r="BR4" t="e">
        <f>AND(Intro!B7,"AAAAAG2t/UU=")</f>
        <v>#VALUE!</v>
      </c>
      <c r="BS4" t="e">
        <f>AND(Intro!C7,"AAAAAG2t/UY=")</f>
        <v>#VALUE!</v>
      </c>
      <c r="BT4" t="e">
        <f>AND(Intro!D7,"AAAAAG2t/Uc=")</f>
        <v>#VALUE!</v>
      </c>
      <c r="BU4" t="e">
        <f>AND(Intro!E7,"AAAAAG2t/Ug=")</f>
        <v>#VALUE!</v>
      </c>
      <c r="BV4" t="e">
        <f>AND(Intro!F7,"AAAAAG2t/Uk=")</f>
        <v>#VALUE!</v>
      </c>
      <c r="BW4" t="e">
        <f>AND(Intro!G7,"AAAAAG2t/Uo=")</f>
        <v>#VALUE!</v>
      </c>
      <c r="BX4" t="e">
        <f>AND(Intro!H7,"AAAAAG2t/Us=")</f>
        <v>#VALUE!</v>
      </c>
      <c r="BY4" t="e">
        <f>AND(Intro!I7,"AAAAAG2t/Uw=")</f>
        <v>#VALUE!</v>
      </c>
      <c r="BZ4">
        <f>IF(Intro!8:8,"AAAAAG2t/U0=",0)</f>
        <v>0</v>
      </c>
      <c r="CA4" t="e">
        <f>AND(Intro!B8,"AAAAAG2t/U4=")</f>
        <v>#VALUE!</v>
      </c>
      <c r="CB4" t="e">
        <f>AND(Intro!C8,"AAAAAG2t/U8=")</f>
        <v>#VALUE!</v>
      </c>
      <c r="CC4" t="e">
        <f>AND(Intro!D8,"AAAAAG2t/VA=")</f>
        <v>#VALUE!</v>
      </c>
      <c r="CD4" t="e">
        <f>AND(Intro!E8,"AAAAAG2t/VE=")</f>
        <v>#VALUE!</v>
      </c>
      <c r="CE4" t="e">
        <f>AND(Intro!F8,"AAAAAG2t/VI=")</f>
        <v>#VALUE!</v>
      </c>
      <c r="CF4" t="e">
        <f>AND(Intro!G8,"AAAAAG2t/VM=")</f>
        <v>#VALUE!</v>
      </c>
      <c r="CG4" t="e">
        <f>AND(Intro!H8,"AAAAAG2t/VQ=")</f>
        <v>#VALUE!</v>
      </c>
      <c r="CH4" t="e">
        <f>AND(Intro!I8,"AAAAAG2t/VU=")</f>
        <v>#VALUE!</v>
      </c>
      <c r="CI4">
        <f>IF(Intro!9:9,"AAAAAG2t/VY=",0)</f>
        <v>0</v>
      </c>
      <c r="CJ4" t="e">
        <f>AND(Intro!B9,"AAAAAG2t/Vc=")</f>
        <v>#VALUE!</v>
      </c>
      <c r="CK4" t="e">
        <f>AND(Intro!C9,"AAAAAG2t/Vg=")</f>
        <v>#VALUE!</v>
      </c>
      <c r="CL4" t="e">
        <f>AND(Intro!D9,"AAAAAG2t/Vk=")</f>
        <v>#VALUE!</v>
      </c>
      <c r="CM4" t="e">
        <f>AND(Intro!E9,"AAAAAG2t/Vo=")</f>
        <v>#VALUE!</v>
      </c>
      <c r="CN4" t="e">
        <f>AND(Intro!F9,"AAAAAG2t/Vs=")</f>
        <v>#VALUE!</v>
      </c>
      <c r="CO4" t="e">
        <f>AND(Intro!G9,"AAAAAG2t/Vw=")</f>
        <v>#VALUE!</v>
      </c>
      <c r="CP4" t="e">
        <f>AND(Intro!H9,"AAAAAG2t/V0=")</f>
        <v>#VALUE!</v>
      </c>
      <c r="CQ4" t="e">
        <f>AND(Intro!I9,"AAAAAG2t/V4=")</f>
        <v>#VALUE!</v>
      </c>
      <c r="CR4">
        <f>IF(Intro!10:10,"AAAAAG2t/V8=",0)</f>
        <v>0</v>
      </c>
      <c r="CS4" t="e">
        <f>AND(Intro!B10,"AAAAAG2t/WA=")</f>
        <v>#VALUE!</v>
      </c>
      <c r="CT4" t="e">
        <f>AND(Intro!C10,"AAAAAG2t/WE=")</f>
        <v>#VALUE!</v>
      </c>
      <c r="CU4" t="e">
        <f>AND(Intro!D10,"AAAAAG2t/WI=")</f>
        <v>#VALUE!</v>
      </c>
      <c r="CV4" t="e">
        <f>AND(Intro!E10,"AAAAAG2t/WM=")</f>
        <v>#VALUE!</v>
      </c>
      <c r="CW4" t="e">
        <f>AND(Intro!F10,"AAAAAG2t/WQ=")</f>
        <v>#VALUE!</v>
      </c>
      <c r="CX4" t="e">
        <f>AND(Intro!G10,"AAAAAG2t/WU=")</f>
        <v>#VALUE!</v>
      </c>
      <c r="CY4" t="e">
        <f>AND(Intro!H10,"AAAAAG2t/WY=")</f>
        <v>#VALUE!</v>
      </c>
      <c r="CZ4" t="e">
        <f>AND(Intro!I10,"AAAAAG2t/Wc=")</f>
        <v>#VALUE!</v>
      </c>
      <c r="DA4">
        <f>IF(Intro!11:11,"AAAAAG2t/Wg=",0)</f>
        <v>0</v>
      </c>
      <c r="DB4" t="e">
        <f>AND(Intro!B11,"AAAAAG2t/Wk=")</f>
        <v>#VALUE!</v>
      </c>
      <c r="DC4" t="e">
        <f>AND(Intro!C11,"AAAAAG2t/Wo=")</f>
        <v>#VALUE!</v>
      </c>
      <c r="DD4" t="e">
        <f>AND(Intro!D11,"AAAAAG2t/Ws=")</f>
        <v>#VALUE!</v>
      </c>
      <c r="DE4" t="e">
        <f>AND(Intro!E11,"AAAAAG2t/Ww=")</f>
        <v>#VALUE!</v>
      </c>
      <c r="DF4" t="e">
        <f>AND(Intro!F11,"AAAAAG2t/W0=")</f>
        <v>#VALUE!</v>
      </c>
      <c r="DG4" t="e">
        <f>AND(Intro!G11,"AAAAAG2t/W4=")</f>
        <v>#VALUE!</v>
      </c>
      <c r="DH4" t="e">
        <f>AND(Intro!H11,"AAAAAG2t/W8=")</f>
        <v>#VALUE!</v>
      </c>
      <c r="DI4" t="e">
        <f>AND(Intro!I11,"AAAAAG2t/XA=")</f>
        <v>#VALUE!</v>
      </c>
      <c r="DJ4">
        <f>IF(Intro!12:12,"AAAAAG2t/XE=",0)</f>
        <v>0</v>
      </c>
      <c r="DK4" t="e">
        <f>AND(Intro!B12,"AAAAAG2t/XI=")</f>
        <v>#VALUE!</v>
      </c>
      <c r="DL4" t="e">
        <f>AND(Intro!C12,"AAAAAG2t/XM=")</f>
        <v>#VALUE!</v>
      </c>
      <c r="DM4" t="e">
        <f>AND(Intro!D12,"AAAAAG2t/XQ=")</f>
        <v>#VALUE!</v>
      </c>
      <c r="DN4" t="e">
        <f>AND(Intro!E12,"AAAAAG2t/XU=")</f>
        <v>#VALUE!</v>
      </c>
      <c r="DO4" t="e">
        <f>AND(Intro!F12,"AAAAAG2t/XY=")</f>
        <v>#VALUE!</v>
      </c>
      <c r="DP4" t="e">
        <f>AND(Intro!G12,"AAAAAG2t/Xc=")</f>
        <v>#VALUE!</v>
      </c>
      <c r="DQ4" t="e">
        <f>AND(Intro!H12,"AAAAAG2t/Xg=")</f>
        <v>#VALUE!</v>
      </c>
      <c r="DR4" t="e">
        <f>AND(Intro!I12,"AAAAAG2t/Xk=")</f>
        <v>#VALUE!</v>
      </c>
      <c r="DS4">
        <f>IF(Intro!13:13,"AAAAAG2t/Xo=",0)</f>
        <v>0</v>
      </c>
      <c r="DT4" t="e">
        <f>AND(Intro!B13,"AAAAAG2t/Xs=")</f>
        <v>#VALUE!</v>
      </c>
      <c r="DU4" t="e">
        <f>AND(Intro!C13,"AAAAAG2t/Xw=")</f>
        <v>#VALUE!</v>
      </c>
      <c r="DV4" t="e">
        <f>AND(Intro!D13,"AAAAAG2t/X0=")</f>
        <v>#VALUE!</v>
      </c>
      <c r="DW4" t="e">
        <f>AND(Intro!E13,"AAAAAG2t/X4=")</f>
        <v>#VALUE!</v>
      </c>
      <c r="DX4" t="e">
        <f>AND(Intro!F13,"AAAAAG2t/X8=")</f>
        <v>#VALUE!</v>
      </c>
      <c r="DY4" t="e">
        <f>AND(Intro!G13,"AAAAAG2t/YA=")</f>
        <v>#VALUE!</v>
      </c>
      <c r="DZ4" t="e">
        <f>AND(Intro!H13,"AAAAAG2t/YE=")</f>
        <v>#VALUE!</v>
      </c>
      <c r="EA4" t="e">
        <f>AND(Intro!I13,"AAAAAG2t/YI=")</f>
        <v>#VALUE!</v>
      </c>
      <c r="EB4">
        <f>IF(Intro!14:14,"AAAAAG2t/YM=",0)</f>
        <v>0</v>
      </c>
      <c r="EC4" t="e">
        <f>AND(Intro!B14,"AAAAAG2t/YQ=")</f>
        <v>#VALUE!</v>
      </c>
      <c r="ED4" t="e">
        <f>AND(Intro!C14,"AAAAAG2t/YU=")</f>
        <v>#VALUE!</v>
      </c>
      <c r="EE4" t="e">
        <f>AND(Intro!D14,"AAAAAG2t/YY=")</f>
        <v>#VALUE!</v>
      </c>
      <c r="EF4" t="e">
        <f>AND(Intro!E14,"AAAAAG2t/Yc=")</f>
        <v>#VALUE!</v>
      </c>
      <c r="EG4" t="e">
        <f>AND(Intro!F14,"AAAAAG2t/Yg=")</f>
        <v>#VALUE!</v>
      </c>
      <c r="EH4" t="e">
        <f>AND(Intro!G14,"AAAAAG2t/Yk=")</f>
        <v>#VALUE!</v>
      </c>
      <c r="EI4" t="e">
        <f>AND(Intro!H14,"AAAAAG2t/Yo=")</f>
        <v>#VALUE!</v>
      </c>
      <c r="EJ4" t="e">
        <f>AND(Intro!I14,"AAAAAG2t/Ys=")</f>
        <v>#VALUE!</v>
      </c>
      <c r="EK4">
        <f>IF(Intro!15:15,"AAAAAG2t/Yw=",0)</f>
        <v>0</v>
      </c>
      <c r="EL4" t="e">
        <f>AND(Intro!B15,"AAAAAG2t/Y0=")</f>
        <v>#VALUE!</v>
      </c>
      <c r="EM4" t="e">
        <f>AND(Intro!C15,"AAAAAG2t/Y4=")</f>
        <v>#VALUE!</v>
      </c>
      <c r="EN4" t="e">
        <f>AND(Intro!D15,"AAAAAG2t/Y8=")</f>
        <v>#VALUE!</v>
      </c>
      <c r="EO4" t="e">
        <f>AND(Intro!E15,"AAAAAG2t/ZA=")</f>
        <v>#VALUE!</v>
      </c>
      <c r="EP4" t="e">
        <f>AND(Intro!F15,"AAAAAG2t/ZE=")</f>
        <v>#VALUE!</v>
      </c>
      <c r="EQ4" t="e">
        <f>AND(Intro!G15,"AAAAAG2t/ZI=")</f>
        <v>#VALUE!</v>
      </c>
      <c r="ER4" t="e">
        <f>AND(Intro!H15,"AAAAAG2t/ZM=")</f>
        <v>#VALUE!</v>
      </c>
      <c r="ES4" t="e">
        <f>AND(Intro!I15,"AAAAAG2t/ZQ=")</f>
        <v>#VALUE!</v>
      </c>
      <c r="ET4">
        <f>IF(Intro!16:16,"AAAAAG2t/ZU=",0)</f>
        <v>0</v>
      </c>
      <c r="EU4">
        <f>IF(Intro!17:17,"AAAAAG2t/ZY=",0)</f>
        <v>0</v>
      </c>
      <c r="EV4">
        <f>IF(Intro!18:18,"AAAAAG2t/Zc=",0)</f>
        <v>0</v>
      </c>
      <c r="EW4">
        <f>IF(Intro!A:A,"AAAAAG2t/Zg=",0)</f>
        <v>0</v>
      </c>
      <c r="EX4">
        <f>IF(Intro!B:B,"AAAAAG2t/Zk=",0)</f>
        <v>0</v>
      </c>
      <c r="EY4">
        <f>IF(Intro!C:C,"AAAAAG2t/Zo=",0)</f>
        <v>0</v>
      </c>
      <c r="EZ4">
        <f>IF(Intro!D:D,"AAAAAG2t/Zs=",0)</f>
        <v>0</v>
      </c>
      <c r="FA4">
        <f>IF(Intro!E:E,"AAAAAG2t/Zw=",0)</f>
        <v>0</v>
      </c>
      <c r="FB4">
        <f>IF(Intro!F:F,"AAAAAG2t/Z0=",0)</f>
        <v>0</v>
      </c>
      <c r="FC4">
        <f>IF(Intro!G:G,"AAAAAG2t/Z4=",0)</f>
        <v>0</v>
      </c>
      <c r="FD4">
        <f>IF(Intro!H:H,"AAAAAG2t/Z8=",0)</f>
        <v>0</v>
      </c>
      <c r="FE4">
        <f>IF(Intro!I:I,"AAAAAG2t/aA=",0)</f>
        <v>0</v>
      </c>
      <c r="FF4">
        <f>IF(z!1:1,"AAAAAG2t/aE=",0)</f>
        <v>0</v>
      </c>
      <c r="FG4" t="e">
        <f>AND(z!B1,"AAAAAG2t/aI=")</f>
        <v>#VALUE!</v>
      </c>
      <c r="FH4" t="e">
        <f>AND(z!C1,"AAAAAG2t/aM=")</f>
        <v>#VALUE!</v>
      </c>
      <c r="FI4" t="e">
        <f>AND(z!D1,"AAAAAG2t/aQ=")</f>
        <v>#VALUE!</v>
      </c>
      <c r="FJ4" t="e">
        <f>AND(z!E1,"AAAAAG2t/aU=")</f>
        <v>#VALUE!</v>
      </c>
      <c r="FK4" t="e">
        <f>AND(z!F1,"AAAAAG2t/aY=")</f>
        <v>#VALUE!</v>
      </c>
      <c r="FL4" t="e">
        <f>AND(z!G1,"AAAAAG2t/ac=")</f>
        <v>#VALUE!</v>
      </c>
      <c r="FM4">
        <f>IF(z!2:2,"AAAAAG2t/ag=",0)</f>
        <v>0</v>
      </c>
      <c r="FN4" t="e">
        <f>AND(z!B2,"AAAAAG2t/ak=")</f>
        <v>#VALUE!</v>
      </c>
      <c r="FO4" t="e">
        <f>AND(z!C2,"AAAAAG2t/ao=")</f>
        <v>#VALUE!</v>
      </c>
      <c r="FP4" t="e">
        <f>AND(z!D2,"AAAAAG2t/as=")</f>
        <v>#VALUE!</v>
      </c>
      <c r="FQ4" t="e">
        <f>AND(z!E2,"AAAAAG2t/aw=")</f>
        <v>#VALUE!</v>
      </c>
      <c r="FR4" t="e">
        <f>AND(z!F2,"AAAAAG2t/a0=")</f>
        <v>#VALUE!</v>
      </c>
      <c r="FS4" t="e">
        <f>AND(z!G2,"AAAAAG2t/a4=")</f>
        <v>#VALUE!</v>
      </c>
      <c r="FT4">
        <f>IF(z!3:3,"AAAAAG2t/a8=",0)</f>
        <v>0</v>
      </c>
      <c r="FU4" t="e">
        <f>AND(z!B3,"AAAAAG2t/bA=")</f>
        <v>#VALUE!</v>
      </c>
      <c r="FV4" t="e">
        <f>AND(z!C3,"AAAAAG2t/bE=")</f>
        <v>#VALUE!</v>
      </c>
      <c r="FW4" t="e">
        <f>AND(z!D3,"AAAAAG2t/bI=")</f>
        <v>#VALUE!</v>
      </c>
      <c r="FX4" t="e">
        <f>AND(z!E3,"AAAAAG2t/bM=")</f>
        <v>#VALUE!</v>
      </c>
      <c r="FY4" t="e">
        <f>AND(z!F3,"AAAAAG2t/bQ=")</f>
        <v>#VALUE!</v>
      </c>
      <c r="FZ4" t="e">
        <f>AND(z!G3,"AAAAAG2t/bU=")</f>
        <v>#VALUE!</v>
      </c>
      <c r="GA4">
        <f>IF(z!4:4,"AAAAAG2t/bY=",0)</f>
        <v>0</v>
      </c>
      <c r="GB4" t="e">
        <f>AND(z!B4,"AAAAAG2t/bc=")</f>
        <v>#VALUE!</v>
      </c>
      <c r="GC4" t="e">
        <f>AND(z!C4,"AAAAAG2t/bg=")</f>
        <v>#VALUE!</v>
      </c>
      <c r="GD4" t="e">
        <f>AND(z!D4,"AAAAAG2t/bk=")</f>
        <v>#VALUE!</v>
      </c>
      <c r="GE4" t="e">
        <f>AND(z!E4,"AAAAAG2t/bo=")</f>
        <v>#VALUE!</v>
      </c>
      <c r="GF4" t="e">
        <f>AND(z!F4,"AAAAAG2t/bs=")</f>
        <v>#VALUE!</v>
      </c>
      <c r="GG4" t="e">
        <f>AND(z!G4,"AAAAAG2t/bw=")</f>
        <v>#VALUE!</v>
      </c>
      <c r="GH4">
        <f>IF(z!5:5,"AAAAAG2t/b0=",0)</f>
        <v>0</v>
      </c>
      <c r="GI4" t="e">
        <f>AND(z!B5,"AAAAAG2t/b4=")</f>
        <v>#VALUE!</v>
      </c>
      <c r="GJ4" t="e">
        <f>AND(z!C5,"AAAAAG2t/b8=")</f>
        <v>#VALUE!</v>
      </c>
      <c r="GK4" t="e">
        <f>AND(z!D5,"AAAAAG2t/cA=")</f>
        <v>#VALUE!</v>
      </c>
      <c r="GL4" t="e">
        <f>AND(z!E5,"AAAAAG2t/cE=")</f>
        <v>#VALUE!</v>
      </c>
      <c r="GM4" t="e">
        <f>AND(z!F5,"AAAAAG2t/cI=")</f>
        <v>#VALUE!</v>
      </c>
      <c r="GN4" t="e">
        <f>AND(z!G5,"AAAAAG2t/cM=")</f>
        <v>#VALUE!</v>
      </c>
      <c r="GO4">
        <f>IF(z!6:6,"AAAAAG2t/cQ=",0)</f>
        <v>0</v>
      </c>
      <c r="GP4" t="e">
        <f>AND(z!B6,"AAAAAG2t/cU=")</f>
        <v>#VALUE!</v>
      </c>
      <c r="GQ4" t="e">
        <f>AND(z!C6,"AAAAAG2t/cY=")</f>
        <v>#VALUE!</v>
      </c>
      <c r="GR4" t="e">
        <f>AND(z!D6,"AAAAAG2t/cc=")</f>
        <v>#VALUE!</v>
      </c>
      <c r="GS4" t="e">
        <f>AND(z!E6,"AAAAAG2t/cg=")</f>
        <v>#VALUE!</v>
      </c>
      <c r="GT4" t="e">
        <f>AND(z!F6,"AAAAAG2t/ck=")</f>
        <v>#VALUE!</v>
      </c>
      <c r="GU4" t="e">
        <f>AND(z!G6,"AAAAAG2t/co=")</f>
        <v>#VALUE!</v>
      </c>
      <c r="GV4">
        <f>IF(z!7:7,"AAAAAG2t/cs=",0)</f>
        <v>0</v>
      </c>
      <c r="GW4" t="e">
        <f>AND(z!B7,"AAAAAG2t/cw=")</f>
        <v>#VALUE!</v>
      </c>
      <c r="GX4" t="e">
        <f>AND(z!C7,"AAAAAG2t/c0=")</f>
        <v>#VALUE!</v>
      </c>
      <c r="GY4" t="e">
        <f>AND(z!D7,"AAAAAG2t/c4=")</f>
        <v>#VALUE!</v>
      </c>
      <c r="GZ4" t="e">
        <f>AND(z!E7,"AAAAAG2t/c8=")</f>
        <v>#VALUE!</v>
      </c>
      <c r="HA4" t="e">
        <f>AND(z!F7,"AAAAAG2t/dA=")</f>
        <v>#VALUE!</v>
      </c>
      <c r="HB4" t="e">
        <f>AND(z!G7,"AAAAAG2t/dE=")</f>
        <v>#VALUE!</v>
      </c>
      <c r="HC4">
        <f>IF(z!8:8,"AAAAAG2t/dI=",0)</f>
        <v>0</v>
      </c>
      <c r="HD4" t="e">
        <f>AND(z!B8,"AAAAAG2t/dM=")</f>
        <v>#VALUE!</v>
      </c>
      <c r="HE4" t="e">
        <f>AND(z!C8,"AAAAAG2t/dQ=")</f>
        <v>#VALUE!</v>
      </c>
      <c r="HF4" t="e">
        <f>AND(z!D8,"AAAAAG2t/dU=")</f>
        <v>#VALUE!</v>
      </c>
      <c r="HG4" t="e">
        <f>AND(z!E8,"AAAAAG2t/dY=")</f>
        <v>#VALUE!</v>
      </c>
      <c r="HH4" t="e">
        <f>AND(z!F8,"AAAAAG2t/dc=")</f>
        <v>#VALUE!</v>
      </c>
      <c r="HI4" t="e">
        <f>AND(z!G8,"AAAAAG2t/dg=")</f>
        <v>#VALUE!</v>
      </c>
      <c r="HJ4">
        <f>IF(z!9:9,"AAAAAG2t/dk=",0)</f>
        <v>0</v>
      </c>
      <c r="HK4" t="e">
        <f>AND(z!B9,"AAAAAG2t/do=")</f>
        <v>#VALUE!</v>
      </c>
      <c r="HL4" t="e">
        <f>AND(z!C9,"AAAAAG2t/ds=")</f>
        <v>#VALUE!</v>
      </c>
      <c r="HM4" t="e">
        <f>AND(z!D9,"AAAAAG2t/dw=")</f>
        <v>#VALUE!</v>
      </c>
      <c r="HN4" t="e">
        <f>AND(z!E9,"AAAAAG2t/d0=")</f>
        <v>#VALUE!</v>
      </c>
      <c r="HO4" t="e">
        <f>AND(z!F9,"AAAAAG2t/d4=")</f>
        <v>#VALUE!</v>
      </c>
      <c r="HP4" t="e">
        <f>AND(z!G9,"AAAAAG2t/d8=")</f>
        <v>#VALUE!</v>
      </c>
      <c r="HQ4">
        <f>IF(z!10:10,"AAAAAG2t/eA=",0)</f>
        <v>0</v>
      </c>
      <c r="HR4" t="e">
        <f>AND(z!B10,"AAAAAG2t/eE=")</f>
        <v>#VALUE!</v>
      </c>
      <c r="HS4" t="e">
        <f>AND(z!C10,"AAAAAG2t/eI=")</f>
        <v>#VALUE!</v>
      </c>
      <c r="HT4" t="e">
        <f>AND(z!D10,"AAAAAG2t/eM=")</f>
        <v>#VALUE!</v>
      </c>
      <c r="HU4" t="e">
        <f>AND(z!E10,"AAAAAG2t/eQ=")</f>
        <v>#VALUE!</v>
      </c>
      <c r="HV4" t="e">
        <f>AND(z!F10,"AAAAAG2t/eU=")</f>
        <v>#VALUE!</v>
      </c>
      <c r="HW4" t="e">
        <f>AND(z!G10,"AAAAAG2t/eY=")</f>
        <v>#VALUE!</v>
      </c>
      <c r="HX4">
        <f>IF(z!11:11,"AAAAAG2t/ec=",0)</f>
        <v>0</v>
      </c>
      <c r="HY4" t="e">
        <f>AND(z!B11,"AAAAAG2t/eg=")</f>
        <v>#VALUE!</v>
      </c>
      <c r="HZ4" t="e">
        <f>AND(z!C11,"AAAAAG2t/ek=")</f>
        <v>#VALUE!</v>
      </c>
      <c r="IA4" t="e">
        <f>AND(z!D11,"AAAAAG2t/eo=")</f>
        <v>#VALUE!</v>
      </c>
      <c r="IB4" t="e">
        <f>AND(z!E11,"AAAAAG2t/es=")</f>
        <v>#VALUE!</v>
      </c>
      <c r="IC4" t="e">
        <f>AND(z!F11,"AAAAAG2t/ew=")</f>
        <v>#VALUE!</v>
      </c>
      <c r="ID4" t="e">
        <f>AND(z!G11,"AAAAAG2t/e0=")</f>
        <v>#VALUE!</v>
      </c>
      <c r="IE4">
        <f>IF(z!12:12,"AAAAAG2t/e4=",0)</f>
        <v>0</v>
      </c>
      <c r="IF4" t="e">
        <f>AND(z!B12,"AAAAAG2t/e8=")</f>
        <v>#VALUE!</v>
      </c>
      <c r="IG4" t="e">
        <f>AND(z!C12,"AAAAAG2t/fA=")</f>
        <v>#VALUE!</v>
      </c>
      <c r="IH4" t="e">
        <f>AND(z!D12,"AAAAAG2t/fE=")</f>
        <v>#VALUE!</v>
      </c>
      <c r="II4" t="e">
        <f>AND(z!E12,"AAAAAG2t/fI=")</f>
        <v>#VALUE!</v>
      </c>
      <c r="IJ4" t="e">
        <f>AND(z!F12,"AAAAAG2t/fM=")</f>
        <v>#VALUE!</v>
      </c>
      <c r="IK4" t="e">
        <f>AND(z!G12,"AAAAAG2t/fQ=")</f>
        <v>#VALUE!</v>
      </c>
      <c r="IL4">
        <f>IF(z!13:13,"AAAAAG2t/fU=",0)</f>
        <v>0</v>
      </c>
      <c r="IM4" t="e">
        <f>AND(z!B13,"AAAAAG2t/fY=")</f>
        <v>#VALUE!</v>
      </c>
      <c r="IN4" t="e">
        <f>AND(z!C13,"AAAAAG2t/fc=")</f>
        <v>#VALUE!</v>
      </c>
      <c r="IO4" t="e">
        <f>AND(z!D13,"AAAAAG2t/fg=")</f>
        <v>#VALUE!</v>
      </c>
      <c r="IP4" t="e">
        <f>AND(z!E13,"AAAAAG2t/fk=")</f>
        <v>#VALUE!</v>
      </c>
      <c r="IQ4" t="e">
        <f>AND(z!F13,"AAAAAG2t/fo=")</f>
        <v>#VALUE!</v>
      </c>
      <c r="IR4" t="e">
        <f>AND(z!G13,"AAAAAG2t/fs=")</f>
        <v>#VALUE!</v>
      </c>
      <c r="IS4">
        <f>IF(z!14:14,"AAAAAG2t/fw=",0)</f>
        <v>0</v>
      </c>
      <c r="IT4" t="e">
        <f>AND(z!B14,"AAAAAG2t/f0=")</f>
        <v>#VALUE!</v>
      </c>
      <c r="IU4" t="e">
        <f>AND(z!C14,"AAAAAG2t/f4=")</f>
        <v>#VALUE!</v>
      </c>
      <c r="IV4" t="e">
        <f>AND(z!D14,"AAAAAG2t/f8=")</f>
        <v>#VALUE!</v>
      </c>
    </row>
    <row r="5" spans="1:256" ht="15.75">
      <c r="A5" t="e">
        <f>AND(z!E14,"AAAAAD69rgA=")</f>
        <v>#VALUE!</v>
      </c>
      <c r="B5" t="e">
        <f>AND(z!F14,"AAAAAD69rgE=")</f>
        <v>#VALUE!</v>
      </c>
      <c r="C5" t="e">
        <f>AND(z!G14,"AAAAAD69rgI=")</f>
        <v>#VALUE!</v>
      </c>
      <c r="D5">
        <f>IF(z!15:15,"AAAAAD69rgM=",0)</f>
        <v>0</v>
      </c>
      <c r="E5" t="e">
        <f>AND(z!B15,"AAAAAD69rgQ=")</f>
        <v>#VALUE!</v>
      </c>
      <c r="F5" t="e">
        <f>AND(z!C15,"AAAAAD69rgU=")</f>
        <v>#VALUE!</v>
      </c>
      <c r="G5" t="e">
        <f>AND(z!D15,"AAAAAD69rgY=")</f>
        <v>#VALUE!</v>
      </c>
      <c r="H5" t="e">
        <f>AND(z!E15,"AAAAAD69rgc=")</f>
        <v>#VALUE!</v>
      </c>
      <c r="I5" t="e">
        <f>AND(z!F15,"AAAAAD69rgg=")</f>
        <v>#VALUE!</v>
      </c>
      <c r="J5" t="e">
        <f>AND(z!G15,"AAAAAD69rgk=")</f>
        <v>#VALUE!</v>
      </c>
      <c r="K5">
        <f>IF(z!16:16,"AAAAAD69rgo=",0)</f>
        <v>0</v>
      </c>
      <c r="L5" t="e">
        <f>AND(z!B16,"AAAAAD69rgs=")</f>
        <v>#VALUE!</v>
      </c>
      <c r="M5" t="e">
        <f>AND(z!C16,"AAAAAD69rgw=")</f>
        <v>#VALUE!</v>
      </c>
      <c r="N5" t="e">
        <f>AND(z!D16,"AAAAAD69rg0=")</f>
        <v>#VALUE!</v>
      </c>
      <c r="O5" t="e">
        <f>AND(z!E16,"AAAAAD69rg4=")</f>
        <v>#VALUE!</v>
      </c>
      <c r="P5" t="e">
        <f>AND(z!F16,"AAAAAD69rg8=")</f>
        <v>#VALUE!</v>
      </c>
      <c r="Q5" t="e">
        <f>AND(z!G16,"AAAAAD69rhA=")</f>
        <v>#VALUE!</v>
      </c>
      <c r="R5">
        <f>IF(z!17:17,"AAAAAD69rhE=",0)</f>
        <v>0</v>
      </c>
      <c r="S5" t="e">
        <f>AND(z!B17,"AAAAAD69rhI=")</f>
        <v>#VALUE!</v>
      </c>
      <c r="T5" t="e">
        <f>AND(z!C17,"AAAAAD69rhM=")</f>
        <v>#VALUE!</v>
      </c>
      <c r="U5" t="e">
        <f>AND(z!D17,"AAAAAD69rhQ=")</f>
        <v>#VALUE!</v>
      </c>
      <c r="V5" t="e">
        <f>AND(z!E17,"AAAAAD69rhU=")</f>
        <v>#VALUE!</v>
      </c>
      <c r="W5" t="e">
        <f>AND(z!F17,"AAAAAD69rhY=")</f>
        <v>#VALUE!</v>
      </c>
      <c r="X5" t="e">
        <f>AND(z!G17,"AAAAAD69rhc=")</f>
        <v>#VALUE!</v>
      </c>
      <c r="Y5">
        <f>IF(z!18:18,"AAAAAD69rhg=",0)</f>
        <v>0</v>
      </c>
      <c r="Z5" t="e">
        <f>AND(z!B18,"AAAAAD69rhk=")</f>
        <v>#VALUE!</v>
      </c>
      <c r="AA5" t="e">
        <f>AND(z!C18,"AAAAAD69rho=")</f>
        <v>#VALUE!</v>
      </c>
      <c r="AB5" t="e">
        <f>AND(z!D18,"AAAAAD69rhs=")</f>
        <v>#VALUE!</v>
      </c>
      <c r="AC5" t="e">
        <f>AND(z!E18,"AAAAAD69rhw=")</f>
        <v>#VALUE!</v>
      </c>
      <c r="AD5" t="e">
        <f>AND(z!F18,"AAAAAD69rh0=")</f>
        <v>#VALUE!</v>
      </c>
      <c r="AE5" t="e">
        <f>AND(z!G18,"AAAAAD69rh4=")</f>
        <v>#VALUE!</v>
      </c>
      <c r="AF5">
        <f>IF(z!19:19,"AAAAAD69rh8=",0)</f>
        <v>0</v>
      </c>
      <c r="AG5" t="e">
        <f>AND(z!B19,"AAAAAD69riA=")</f>
        <v>#VALUE!</v>
      </c>
      <c r="AH5" t="e">
        <f>AND(z!C19,"AAAAAD69riE=")</f>
        <v>#VALUE!</v>
      </c>
      <c r="AI5" t="e">
        <f>AND(z!D19,"AAAAAD69riI=")</f>
        <v>#VALUE!</v>
      </c>
      <c r="AJ5" t="e">
        <f>AND(z!E19,"AAAAAD69riM=")</f>
        <v>#VALUE!</v>
      </c>
      <c r="AK5" t="e">
        <f>AND(z!F19,"AAAAAD69riQ=")</f>
        <v>#VALUE!</v>
      </c>
      <c r="AL5" t="e">
        <f>AND(z!G19,"AAAAAD69riU=")</f>
        <v>#VALUE!</v>
      </c>
      <c r="AM5">
        <f>IF(z!20:20,"AAAAAD69riY=",0)</f>
        <v>0</v>
      </c>
      <c r="AN5">
        <f>IF(z!21:21,"AAAAAD69ric=",0)</f>
        <v>0</v>
      </c>
      <c r="AO5">
        <f>IF(z!22:22,"AAAAAD69rig=",0)</f>
        <v>0</v>
      </c>
      <c r="AP5">
        <f>IF(z!23:23,"AAAAAD69rik=",0)</f>
        <v>0</v>
      </c>
      <c r="AQ5">
        <f>IF(z!24:24,"AAAAAD69rio=",0)</f>
        <v>0</v>
      </c>
      <c r="AR5">
        <f>IF(z!25:25,"AAAAAD69ris=",0)</f>
        <v>0</v>
      </c>
      <c r="AS5">
        <f>IF(z!A:A,"AAAAAD69riw=",0)</f>
        <v>0</v>
      </c>
      <c r="AT5" t="e">
        <f>IF(z!B:B,"AAAAAD69ri0=",0)</f>
        <v>#VALUE!</v>
      </c>
      <c r="AU5">
        <f>IF(z!C:C,"AAAAAD69ri4=",0)</f>
        <v>0</v>
      </c>
      <c r="AV5">
        <f>IF(z!D:D,"AAAAAD69ri8=",0)</f>
        <v>0</v>
      </c>
      <c r="AW5">
        <f>IF(z!E:E,"AAAAAD69rjA=",0)</f>
        <v>0</v>
      </c>
      <c r="AX5">
        <f>IF(z!F:F,"AAAAAD69rjE=",0)</f>
        <v>0</v>
      </c>
      <c r="AY5">
        <f>IF(z!G:G,"AAAAAD69rjI=",0)</f>
        <v>0</v>
      </c>
      <c r="AZ5">
        <f>IF(t!1:1,"AAAAAD69rjM=",0)</f>
        <v>0</v>
      </c>
      <c r="BA5" t="e">
        <f>AND(t!B1,"AAAAAD69rjQ=")</f>
        <v>#VALUE!</v>
      </c>
      <c r="BB5" t="e">
        <f>AND(t!C1,"AAAAAD69rjU=")</f>
        <v>#VALUE!</v>
      </c>
      <c r="BC5" t="e">
        <f>AND(t!D1,"AAAAAD69rjY=")</f>
        <v>#VALUE!</v>
      </c>
      <c r="BD5" t="e">
        <f>AND(t!E1,"AAAAAD69rjc=")</f>
        <v>#VALUE!</v>
      </c>
      <c r="BE5" t="e">
        <f>AND(t!F1,"AAAAAD69rjg=")</f>
        <v>#VALUE!</v>
      </c>
      <c r="BF5" t="e">
        <f>AND(t!G1,"AAAAAD69rjk=")</f>
        <v>#VALUE!</v>
      </c>
      <c r="BG5">
        <f>IF(t!2:2,"AAAAAD69rjo=",0)</f>
        <v>0</v>
      </c>
      <c r="BH5" t="e">
        <f>AND(t!B2,"AAAAAD69rjs=")</f>
        <v>#VALUE!</v>
      </c>
      <c r="BI5" t="e">
        <f>AND(t!C2,"AAAAAD69rjw=")</f>
        <v>#VALUE!</v>
      </c>
      <c r="BJ5" t="e">
        <f>AND(t!D2,"AAAAAD69rj0=")</f>
        <v>#VALUE!</v>
      </c>
      <c r="BK5" t="e">
        <f>AND(t!E2,"AAAAAD69rj4=")</f>
        <v>#VALUE!</v>
      </c>
      <c r="BL5" t="e">
        <f>AND(t!F2,"AAAAAD69rj8=")</f>
        <v>#VALUE!</v>
      </c>
      <c r="BM5" t="e">
        <f>AND(t!G2,"AAAAAD69rkA=")</f>
        <v>#VALUE!</v>
      </c>
      <c r="BN5">
        <f>IF(t!3:3,"AAAAAD69rkE=",0)</f>
        <v>0</v>
      </c>
      <c r="BO5" t="e">
        <f>AND(t!B3,"AAAAAD69rkI=")</f>
        <v>#VALUE!</v>
      </c>
      <c r="BP5" t="e">
        <f>AND(t!C3,"AAAAAD69rkM=")</f>
        <v>#VALUE!</v>
      </c>
      <c r="BQ5" t="e">
        <f>AND(t!D3,"AAAAAD69rkQ=")</f>
        <v>#VALUE!</v>
      </c>
      <c r="BR5" t="e">
        <f>AND(t!E3,"AAAAAD69rkU=")</f>
        <v>#VALUE!</v>
      </c>
      <c r="BS5" t="e">
        <f>AND(t!F3,"AAAAAD69rkY=")</f>
        <v>#VALUE!</v>
      </c>
      <c r="BT5" t="e">
        <f>AND(t!G3,"AAAAAD69rkc=")</f>
        <v>#VALUE!</v>
      </c>
      <c r="BU5">
        <f>IF(t!4:4,"AAAAAD69rkg=",0)</f>
        <v>0</v>
      </c>
      <c r="BV5" t="e">
        <f>AND(t!B4,"AAAAAD69rkk=")</f>
        <v>#VALUE!</v>
      </c>
      <c r="BW5" t="e">
        <f>AND(t!C4,"AAAAAD69rko=")</f>
        <v>#VALUE!</v>
      </c>
      <c r="BX5" t="e">
        <f>AND(t!D4,"AAAAAD69rks=")</f>
        <v>#VALUE!</v>
      </c>
      <c r="BY5" t="e">
        <f>AND(t!E4,"AAAAAD69rkw=")</f>
        <v>#VALUE!</v>
      </c>
      <c r="BZ5" t="e">
        <f>AND(t!F4,"AAAAAD69rk0=")</f>
        <v>#VALUE!</v>
      </c>
      <c r="CA5" t="e">
        <f>AND(t!G4,"AAAAAD69rk4=")</f>
        <v>#VALUE!</v>
      </c>
      <c r="CB5">
        <f>IF(t!5:5,"AAAAAD69rk8=",0)</f>
        <v>0</v>
      </c>
      <c r="CC5" t="e">
        <f>AND(t!B5,"AAAAAD69rlA=")</f>
        <v>#VALUE!</v>
      </c>
      <c r="CD5" t="e">
        <f>AND(t!C5,"AAAAAD69rlE=")</f>
        <v>#VALUE!</v>
      </c>
      <c r="CE5" t="e">
        <f>AND(t!D5,"AAAAAD69rlI=")</f>
        <v>#VALUE!</v>
      </c>
      <c r="CF5" t="e">
        <f>AND(t!E5,"AAAAAD69rlM=")</f>
        <v>#VALUE!</v>
      </c>
      <c r="CG5" t="e">
        <f>AND(t!F5,"AAAAAD69rlQ=")</f>
        <v>#VALUE!</v>
      </c>
      <c r="CH5" t="e">
        <f>AND(t!G5,"AAAAAD69rlU=")</f>
        <v>#VALUE!</v>
      </c>
      <c r="CI5">
        <f>IF(t!6:6,"AAAAAD69rlY=",0)</f>
        <v>0</v>
      </c>
      <c r="CJ5" t="e">
        <f>AND(t!B6,"AAAAAD69rlc=")</f>
        <v>#VALUE!</v>
      </c>
      <c r="CK5" t="e">
        <f>AND(t!C6,"AAAAAD69rlg=")</f>
        <v>#VALUE!</v>
      </c>
      <c r="CL5" t="e">
        <f>AND(t!D6,"AAAAAD69rlk=")</f>
        <v>#VALUE!</v>
      </c>
      <c r="CM5" t="e">
        <f>AND(t!E6,"AAAAAD69rlo=")</f>
        <v>#VALUE!</v>
      </c>
      <c r="CN5" t="e">
        <f>AND(t!F6,"AAAAAD69rls=")</f>
        <v>#VALUE!</v>
      </c>
      <c r="CO5" t="e">
        <f>AND(t!G6,"AAAAAD69rlw=")</f>
        <v>#VALUE!</v>
      </c>
      <c r="CP5">
        <f>IF(t!7:7,"AAAAAD69rl0=",0)</f>
        <v>0</v>
      </c>
      <c r="CQ5" t="e">
        <f>AND(t!B7,"AAAAAD69rl4=")</f>
        <v>#VALUE!</v>
      </c>
      <c r="CR5" t="e">
        <f>AND(t!C7,"AAAAAD69rl8=")</f>
        <v>#VALUE!</v>
      </c>
      <c r="CS5" t="e">
        <f>AND(t!D7,"AAAAAD69rmA=")</f>
        <v>#VALUE!</v>
      </c>
      <c r="CT5" t="e">
        <f>AND(t!E7,"AAAAAD69rmE=")</f>
        <v>#VALUE!</v>
      </c>
      <c r="CU5" t="e">
        <f>AND(t!F7,"AAAAAD69rmI=")</f>
        <v>#VALUE!</v>
      </c>
      <c r="CV5" t="e">
        <f>AND(t!G7,"AAAAAD69rmM=")</f>
        <v>#VALUE!</v>
      </c>
      <c r="CW5">
        <f>IF(t!8:8,"AAAAAD69rmQ=",0)</f>
        <v>0</v>
      </c>
      <c r="CX5" t="e">
        <f>AND(t!B8,"AAAAAD69rmU=")</f>
        <v>#VALUE!</v>
      </c>
      <c r="CY5" t="e">
        <f>AND(t!C8,"AAAAAD69rmY=")</f>
        <v>#VALUE!</v>
      </c>
      <c r="CZ5" t="e">
        <f>AND(t!D8,"AAAAAD69rmc=")</f>
        <v>#VALUE!</v>
      </c>
      <c r="DA5" t="e">
        <f>AND(t!E8,"AAAAAD69rmg=")</f>
        <v>#VALUE!</v>
      </c>
      <c r="DB5" t="e">
        <f>AND(t!F8,"AAAAAD69rmk=")</f>
        <v>#VALUE!</v>
      </c>
      <c r="DC5" t="e">
        <f>AND(t!G8,"AAAAAD69rmo=")</f>
        <v>#VALUE!</v>
      </c>
      <c r="DD5">
        <f>IF(t!9:9,"AAAAAD69rms=",0)</f>
        <v>0</v>
      </c>
      <c r="DE5" t="e">
        <f>AND(t!B9,"AAAAAD69rmw=")</f>
        <v>#VALUE!</v>
      </c>
      <c r="DF5" t="e">
        <f>AND(t!C9,"AAAAAD69rm0=")</f>
        <v>#VALUE!</v>
      </c>
      <c r="DG5" t="e">
        <f>AND(t!D9,"AAAAAD69rm4=")</f>
        <v>#VALUE!</v>
      </c>
      <c r="DH5" t="e">
        <f>AND(t!E9,"AAAAAD69rm8=")</f>
        <v>#VALUE!</v>
      </c>
      <c r="DI5" t="e">
        <f>AND(t!F9,"AAAAAD69rnA=")</f>
        <v>#VALUE!</v>
      </c>
      <c r="DJ5" t="e">
        <f>AND(t!G9,"AAAAAD69rnE=")</f>
        <v>#VALUE!</v>
      </c>
      <c r="DK5">
        <f>IF(t!10:10,"AAAAAD69rnI=",0)</f>
        <v>0</v>
      </c>
      <c r="DL5" t="e">
        <f>AND(t!B10,"AAAAAD69rnM=")</f>
        <v>#VALUE!</v>
      </c>
      <c r="DM5" t="e">
        <f>AND(t!C10,"AAAAAD69rnQ=")</f>
        <v>#VALUE!</v>
      </c>
      <c r="DN5" t="e">
        <f>AND(t!D10,"AAAAAD69rnU=")</f>
        <v>#VALUE!</v>
      </c>
      <c r="DO5" t="e">
        <f>AND(t!E10,"AAAAAD69rnY=")</f>
        <v>#VALUE!</v>
      </c>
      <c r="DP5" t="e">
        <f>AND(t!F10,"AAAAAD69rnc=")</f>
        <v>#VALUE!</v>
      </c>
      <c r="DQ5" t="e">
        <f>AND(t!G10,"AAAAAD69rng=")</f>
        <v>#VALUE!</v>
      </c>
      <c r="DR5">
        <f>IF(t!11:11,"AAAAAD69rnk=",0)</f>
        <v>0</v>
      </c>
      <c r="DS5" t="e">
        <f>AND(t!B11,"AAAAAD69rno=")</f>
        <v>#VALUE!</v>
      </c>
      <c r="DT5" t="e">
        <f>AND(t!C11,"AAAAAD69rns=")</f>
        <v>#VALUE!</v>
      </c>
      <c r="DU5" t="e">
        <f>AND(t!D11,"AAAAAD69rnw=")</f>
        <v>#VALUE!</v>
      </c>
      <c r="DV5" t="e">
        <f>AND(t!E11,"AAAAAD69rn0=")</f>
        <v>#VALUE!</v>
      </c>
      <c r="DW5" t="e">
        <f>AND(t!F11,"AAAAAD69rn4=")</f>
        <v>#VALUE!</v>
      </c>
      <c r="DX5" t="e">
        <f>AND(t!G11,"AAAAAD69rn8=")</f>
        <v>#VALUE!</v>
      </c>
      <c r="DY5">
        <f>IF(t!12:12,"AAAAAD69roA=",0)</f>
        <v>0</v>
      </c>
      <c r="DZ5" t="e">
        <f>AND(t!B12,"AAAAAD69roE=")</f>
        <v>#VALUE!</v>
      </c>
      <c r="EA5" t="e">
        <f>AND(t!C12,"AAAAAD69roI=")</f>
        <v>#VALUE!</v>
      </c>
      <c r="EB5" t="e">
        <f>AND(t!D12,"AAAAAD69roM=")</f>
        <v>#VALUE!</v>
      </c>
      <c r="EC5" t="e">
        <f>AND(t!E12,"AAAAAD69roQ=")</f>
        <v>#VALUE!</v>
      </c>
      <c r="ED5" t="e">
        <f>AND(t!F12,"AAAAAD69roU=")</f>
        <v>#VALUE!</v>
      </c>
      <c r="EE5" t="e">
        <f>AND(t!G12,"AAAAAD69roY=")</f>
        <v>#VALUE!</v>
      </c>
      <c r="EF5">
        <f>IF(t!13:13,"AAAAAD69roc=",0)</f>
        <v>0</v>
      </c>
      <c r="EG5" t="e">
        <f>AND(t!B13,"AAAAAD69rog=")</f>
        <v>#VALUE!</v>
      </c>
      <c r="EH5" t="e">
        <f>AND(t!C13,"AAAAAD69rok=")</f>
        <v>#VALUE!</v>
      </c>
      <c r="EI5" t="e">
        <f>AND(t!D13,"AAAAAD69roo=")</f>
        <v>#VALUE!</v>
      </c>
      <c r="EJ5" t="e">
        <f>AND(t!E13,"AAAAAD69ros=")</f>
        <v>#VALUE!</v>
      </c>
      <c r="EK5" t="e">
        <f>AND(t!F13,"AAAAAD69row=")</f>
        <v>#VALUE!</v>
      </c>
      <c r="EL5" t="e">
        <f>AND(t!G13,"AAAAAD69ro0=")</f>
        <v>#VALUE!</v>
      </c>
      <c r="EM5">
        <f>IF(t!14:14,"AAAAAD69ro4=",0)</f>
        <v>0</v>
      </c>
      <c r="EN5" t="e">
        <f>AND(t!B14,"AAAAAD69ro8=")</f>
        <v>#VALUE!</v>
      </c>
      <c r="EO5" t="e">
        <f>AND(t!C14,"AAAAAD69rpA=")</f>
        <v>#VALUE!</v>
      </c>
      <c r="EP5" t="e">
        <f>AND(t!D14,"AAAAAD69rpE=")</f>
        <v>#VALUE!</v>
      </c>
      <c r="EQ5" t="e">
        <f>AND(t!E14,"AAAAAD69rpI=")</f>
        <v>#VALUE!</v>
      </c>
      <c r="ER5" t="e">
        <f>AND(t!F14,"AAAAAD69rpM=")</f>
        <v>#VALUE!</v>
      </c>
      <c r="ES5" t="e">
        <f>AND(t!G14,"AAAAAD69rpQ=")</f>
        <v>#VALUE!</v>
      </c>
      <c r="ET5">
        <f>IF(t!15:15,"AAAAAD69rpU=",0)</f>
        <v>0</v>
      </c>
      <c r="EU5" t="e">
        <f>AND(t!B15,"AAAAAD69rpY=")</f>
        <v>#VALUE!</v>
      </c>
      <c r="EV5" t="e">
        <f>AND(t!C15,"AAAAAD69rpc=")</f>
        <v>#VALUE!</v>
      </c>
      <c r="EW5" t="e">
        <f>AND(t!D15,"AAAAAD69rpg=")</f>
        <v>#VALUE!</v>
      </c>
      <c r="EX5" t="e">
        <f>AND(t!E15,"AAAAAD69rpk=")</f>
        <v>#VALUE!</v>
      </c>
      <c r="EY5" t="e">
        <f>AND(t!F15,"AAAAAD69rpo=")</f>
        <v>#VALUE!</v>
      </c>
      <c r="EZ5" t="e">
        <f>AND(t!G15,"AAAAAD69rps=")</f>
        <v>#VALUE!</v>
      </c>
      <c r="FA5">
        <f>IF(t!16:16,"AAAAAD69rpw=",0)</f>
        <v>0</v>
      </c>
      <c r="FB5" t="e">
        <f>AND(t!B16,"AAAAAD69rp0=")</f>
        <v>#VALUE!</v>
      </c>
      <c r="FC5" t="e">
        <f>AND(t!C16,"AAAAAD69rp4=")</f>
        <v>#VALUE!</v>
      </c>
      <c r="FD5" t="e">
        <f>AND(t!D16,"AAAAAD69rp8=")</f>
        <v>#VALUE!</v>
      </c>
      <c r="FE5" t="e">
        <f>AND(t!E16,"AAAAAD69rqA=")</f>
        <v>#VALUE!</v>
      </c>
      <c r="FF5" t="e">
        <f>AND(t!F16,"AAAAAD69rqE=")</f>
        <v>#VALUE!</v>
      </c>
      <c r="FG5" t="e">
        <f>AND(t!G16,"AAAAAD69rqI=")</f>
        <v>#VALUE!</v>
      </c>
      <c r="FH5">
        <f>IF(t!17:17,"AAAAAD69rqM=",0)</f>
        <v>0</v>
      </c>
      <c r="FI5" t="e">
        <f>AND(t!B17,"AAAAAD69rqQ=")</f>
        <v>#VALUE!</v>
      </c>
      <c r="FJ5" t="e">
        <f>AND(t!C17,"AAAAAD69rqU=")</f>
        <v>#VALUE!</v>
      </c>
      <c r="FK5" t="e">
        <f>AND(t!D17,"AAAAAD69rqY=")</f>
        <v>#VALUE!</v>
      </c>
      <c r="FL5" t="e">
        <f>AND(t!E17,"AAAAAD69rqc=")</f>
        <v>#VALUE!</v>
      </c>
      <c r="FM5" t="e">
        <f>AND(t!F17,"AAAAAD69rqg=")</f>
        <v>#VALUE!</v>
      </c>
      <c r="FN5" t="e">
        <f>AND(t!G17,"AAAAAD69rqk=")</f>
        <v>#VALUE!</v>
      </c>
      <c r="FO5">
        <f>IF(t!18:18,"AAAAAD69rqo=",0)</f>
        <v>0</v>
      </c>
      <c r="FP5" t="e">
        <f>AND(t!B18,"AAAAAD69rqs=")</f>
        <v>#VALUE!</v>
      </c>
      <c r="FQ5" t="e">
        <f>AND(t!C18,"AAAAAD69rqw=")</f>
        <v>#VALUE!</v>
      </c>
      <c r="FR5" t="e">
        <f>AND(t!D18,"AAAAAD69rq0=")</f>
        <v>#VALUE!</v>
      </c>
      <c r="FS5" t="e">
        <f>AND(t!E18,"AAAAAD69rq4=")</f>
        <v>#VALUE!</v>
      </c>
      <c r="FT5" t="e">
        <f>AND(t!F18,"AAAAAD69rq8=")</f>
        <v>#VALUE!</v>
      </c>
      <c r="FU5" t="e">
        <f>AND(t!G18,"AAAAAD69rrA=")</f>
        <v>#VALUE!</v>
      </c>
      <c r="FV5">
        <f>IF(t!19:19,"AAAAAD69rrE=",0)</f>
        <v>0</v>
      </c>
      <c r="FW5" t="e">
        <f>AND(t!B19,"AAAAAD69rrI=")</f>
        <v>#VALUE!</v>
      </c>
      <c r="FX5" t="e">
        <f>AND(t!C19,"AAAAAD69rrM=")</f>
        <v>#VALUE!</v>
      </c>
      <c r="FY5" t="e">
        <f>AND(t!D19,"AAAAAD69rrQ=")</f>
        <v>#VALUE!</v>
      </c>
      <c r="FZ5" t="e">
        <f>AND(t!E19,"AAAAAD69rrU=")</f>
        <v>#VALUE!</v>
      </c>
      <c r="GA5" t="e">
        <f>AND(t!F19,"AAAAAD69rrY=")</f>
        <v>#VALUE!</v>
      </c>
      <c r="GB5" t="e">
        <f>AND(t!G19,"AAAAAD69rrc=")</f>
        <v>#VALUE!</v>
      </c>
      <c r="GC5">
        <f>IF(t!20:20,"AAAAAD69rrg=",0)</f>
        <v>0</v>
      </c>
      <c r="GD5" t="e">
        <f>AND(t!B20,"AAAAAD69rrk=")</f>
        <v>#VALUE!</v>
      </c>
      <c r="GE5" t="e">
        <f>AND(t!C20,"AAAAAD69rro=")</f>
        <v>#VALUE!</v>
      </c>
      <c r="GF5" t="e">
        <f>AND(t!D20,"AAAAAD69rrs=")</f>
        <v>#VALUE!</v>
      </c>
      <c r="GG5" t="e">
        <f>AND(t!E20,"AAAAAD69rrw=")</f>
        <v>#VALUE!</v>
      </c>
      <c r="GH5" t="e">
        <f>AND(t!F20,"AAAAAD69rr0=")</f>
        <v>#VALUE!</v>
      </c>
      <c r="GI5" t="e">
        <f>AND(t!G20,"AAAAAD69rr4=")</f>
        <v>#VALUE!</v>
      </c>
      <c r="GJ5">
        <f>IF(t!21:21,"AAAAAD69rr8=",0)</f>
        <v>0</v>
      </c>
      <c r="GK5" t="e">
        <f>AND(t!B21,"AAAAAD69rsA=")</f>
        <v>#VALUE!</v>
      </c>
      <c r="GL5" t="e">
        <f>AND(t!C21,"AAAAAD69rsE=")</f>
        <v>#VALUE!</v>
      </c>
      <c r="GM5" t="e">
        <f>AND(t!D21,"AAAAAD69rsI=")</f>
        <v>#VALUE!</v>
      </c>
      <c r="GN5" t="e">
        <f>AND(t!E21,"AAAAAD69rsM=")</f>
        <v>#VALUE!</v>
      </c>
      <c r="GO5" t="e">
        <f>AND(t!F21,"AAAAAD69rsQ=")</f>
        <v>#VALUE!</v>
      </c>
      <c r="GP5" t="e">
        <f>AND(t!G21,"AAAAAD69rsU=")</f>
        <v>#VALUE!</v>
      </c>
      <c r="GQ5">
        <f>IF(t!22:22,"AAAAAD69rsY=",0)</f>
        <v>0</v>
      </c>
      <c r="GR5" t="e">
        <f>AND(t!B22,"AAAAAD69rsc=")</f>
        <v>#VALUE!</v>
      </c>
      <c r="GS5" t="e">
        <f>AND(t!C22,"AAAAAD69rsg=")</f>
        <v>#VALUE!</v>
      </c>
      <c r="GT5" t="e">
        <f>AND(t!D22,"AAAAAD69rsk=")</f>
        <v>#VALUE!</v>
      </c>
      <c r="GU5" t="e">
        <f>AND(t!E22,"AAAAAD69rso=")</f>
        <v>#VALUE!</v>
      </c>
      <c r="GV5" t="e">
        <f>AND(t!F22,"AAAAAD69rss=")</f>
        <v>#VALUE!</v>
      </c>
      <c r="GW5" t="e">
        <f>AND(t!G22,"AAAAAD69rsw=")</f>
        <v>#VALUE!</v>
      </c>
      <c r="GX5">
        <f>IF(t!23:23,"AAAAAD69rs0=",0)</f>
        <v>0</v>
      </c>
      <c r="GY5" t="e">
        <f>AND(t!B23,"AAAAAD69rs4=")</f>
        <v>#VALUE!</v>
      </c>
      <c r="GZ5" t="e">
        <f>AND(t!C23,"AAAAAD69rs8=")</f>
        <v>#VALUE!</v>
      </c>
      <c r="HA5" t="e">
        <f>AND(t!D23,"AAAAAD69rtA=")</f>
        <v>#VALUE!</v>
      </c>
      <c r="HB5" t="e">
        <f>AND(t!E23,"AAAAAD69rtE=")</f>
        <v>#VALUE!</v>
      </c>
      <c r="HC5" t="e">
        <f>AND(t!F23,"AAAAAD69rtI=")</f>
        <v>#VALUE!</v>
      </c>
      <c r="HD5" t="e">
        <f>AND(t!G23,"AAAAAD69rtM=")</f>
        <v>#VALUE!</v>
      </c>
      <c r="HE5">
        <f>IF(t!24:24,"AAAAAD69rtQ=",0)</f>
        <v>0</v>
      </c>
      <c r="HF5" t="e">
        <f>AND(t!B24,"AAAAAD69rtU=")</f>
        <v>#VALUE!</v>
      </c>
      <c r="HG5" t="e">
        <f>AND(t!C24,"AAAAAD69rtY=")</f>
        <v>#VALUE!</v>
      </c>
      <c r="HH5" t="e">
        <f>AND(t!D24,"AAAAAD69rtc=")</f>
        <v>#VALUE!</v>
      </c>
      <c r="HI5" t="e">
        <f>AND(t!E24,"AAAAAD69rtg=")</f>
        <v>#VALUE!</v>
      </c>
      <c r="HJ5" t="e">
        <f>AND(t!F24,"AAAAAD69rtk=")</f>
        <v>#VALUE!</v>
      </c>
      <c r="HK5" t="e">
        <f>AND(t!G24,"AAAAAD69rto=")</f>
        <v>#VALUE!</v>
      </c>
      <c r="HL5">
        <f>IF(t!25:25,"AAAAAD69rts=",0)</f>
        <v>0</v>
      </c>
      <c r="HM5" t="e">
        <f>AND(t!B25,"AAAAAD69rtw=")</f>
        <v>#VALUE!</v>
      </c>
      <c r="HN5" t="e">
        <f>AND(t!C25,"AAAAAD69rt0=")</f>
        <v>#VALUE!</v>
      </c>
      <c r="HO5" t="e">
        <f>AND(t!D25,"AAAAAD69rt4=")</f>
        <v>#VALUE!</v>
      </c>
      <c r="HP5" t="e">
        <f>AND(t!E25,"AAAAAD69rt8=")</f>
        <v>#VALUE!</v>
      </c>
      <c r="HQ5" t="e">
        <f>AND(t!F25,"AAAAAD69ruA=")</f>
        <v>#VALUE!</v>
      </c>
      <c r="HR5" t="e">
        <f>AND(t!G25,"AAAAAD69ruE=")</f>
        <v>#VALUE!</v>
      </c>
      <c r="HS5">
        <f>IF(t!26:26,"AAAAAD69ruI=",0)</f>
        <v>0</v>
      </c>
      <c r="HT5">
        <f>IF(t!27:27,"AAAAAD69ruM=",0)</f>
        <v>0</v>
      </c>
      <c r="HU5">
        <f>IF(t!A:A,"AAAAAD69ruQ=",0)</f>
        <v>0</v>
      </c>
      <c r="HV5">
        <f>IF(t!B:B,"AAAAAD69ruU=",0)</f>
        <v>0</v>
      </c>
      <c r="HW5">
        <f>IF(t!C:C,"AAAAAD69ruY=",0)</f>
        <v>0</v>
      </c>
      <c r="HX5">
        <f>IF(t!D:D,"AAAAAD69ruc=",0)</f>
        <v>0</v>
      </c>
      <c r="HY5">
        <f>IF(t!E:E,"AAAAAD69rug=",0)</f>
        <v>0</v>
      </c>
      <c r="HZ5">
        <f>IF(t!F:F,"AAAAAD69ruk=",0)</f>
        <v>0</v>
      </c>
      <c r="IA5">
        <f>IF(t!G:G,"AAAAAD69ruo=",0)</f>
        <v>0</v>
      </c>
      <c r="IB5">
        <f>IF(F!1:1,"AAAAAD69rus=",0)</f>
        <v>0</v>
      </c>
      <c r="IC5" t="e">
        <f>AND(F!A1,"AAAAAD69ruw=")</f>
        <v>#VALUE!</v>
      </c>
      <c r="ID5" t="e">
        <f>AND(F!B1,"AAAAAD69ru0=")</f>
        <v>#VALUE!</v>
      </c>
      <c r="IE5" t="e">
        <f>AND(F!C1,"AAAAAD69ru4=")</f>
        <v>#VALUE!</v>
      </c>
      <c r="IF5" t="e">
        <f>AND(F!D1,"AAAAAD69ru8=")</f>
        <v>#VALUE!</v>
      </c>
      <c r="IG5" t="e">
        <f>AND(F!E1,"AAAAAD69rvA=")</f>
        <v>#VALUE!</v>
      </c>
      <c r="IH5" t="e">
        <f>AND(F!F1,"AAAAAD69rvE=")</f>
        <v>#VALUE!</v>
      </c>
      <c r="II5" t="e">
        <f>AND(F!G1,"AAAAAD69rvI=")</f>
        <v>#VALUE!</v>
      </c>
      <c r="IJ5" t="e">
        <f>AND(F!H1,"AAAAAD69rvM=")</f>
        <v>#VALUE!</v>
      </c>
      <c r="IK5">
        <f>IF(F!2:2,"AAAAAD69rvQ=",0)</f>
        <v>0</v>
      </c>
      <c r="IL5" t="e">
        <f>AND(F!A2,"AAAAAD69rvU=")</f>
        <v>#VALUE!</v>
      </c>
      <c r="IM5" t="e">
        <f>AND(F!B2,"AAAAAD69rvY=")</f>
        <v>#VALUE!</v>
      </c>
      <c r="IN5" t="e">
        <f>AND(F!C2,"AAAAAD69rvc=")</f>
        <v>#VALUE!</v>
      </c>
      <c r="IO5" t="e">
        <f>AND(F!D2,"AAAAAD69rvg=")</f>
        <v>#VALUE!</v>
      </c>
      <c r="IP5" t="e">
        <f>AND(F!E2,"AAAAAD69rvk=")</f>
        <v>#VALUE!</v>
      </c>
      <c r="IQ5" t="e">
        <f>AND(F!F2,"AAAAAD69rvo=")</f>
        <v>#VALUE!</v>
      </c>
      <c r="IR5" t="e">
        <f>AND(F!G2,"AAAAAD69rvs=")</f>
        <v>#VALUE!</v>
      </c>
      <c r="IS5" t="e">
        <f>AND(F!H2,"AAAAAD69rvw=")</f>
        <v>#VALUE!</v>
      </c>
      <c r="IT5">
        <f>IF(F!3:3,"AAAAAD69rv0=",0)</f>
        <v>0</v>
      </c>
      <c r="IU5" t="e">
        <f>AND(F!A3,"AAAAAD69rv4=")</f>
        <v>#VALUE!</v>
      </c>
      <c r="IV5" t="e">
        <f>AND(F!B3,"AAAAAD69rv8=")</f>
        <v>#VALUE!</v>
      </c>
    </row>
    <row r="6" spans="1:256" ht="15.75">
      <c r="A6" t="e">
        <f>AND(F!C3,"AAAAAFr/owA=")</f>
        <v>#VALUE!</v>
      </c>
      <c r="B6" t="e">
        <f>AND(F!D3,"AAAAAFr/owE=")</f>
        <v>#VALUE!</v>
      </c>
      <c r="C6" t="e">
        <f>AND(F!E3,"AAAAAFr/owI=")</f>
        <v>#VALUE!</v>
      </c>
      <c r="D6" t="e">
        <f>AND(F!F3,"AAAAAFr/owM=")</f>
        <v>#VALUE!</v>
      </c>
      <c r="E6" t="e">
        <f>AND(F!G3,"AAAAAFr/owQ=")</f>
        <v>#VALUE!</v>
      </c>
      <c r="F6" t="e">
        <f>AND(F!H3,"AAAAAFr/owU=")</f>
        <v>#VALUE!</v>
      </c>
      <c r="G6">
        <f>IF(F!4:4,"AAAAAFr/owY=",0)</f>
        <v>0</v>
      </c>
      <c r="H6" t="e">
        <f>AND(F!A4,"AAAAAFr/owc=")</f>
        <v>#VALUE!</v>
      </c>
      <c r="I6" t="e">
        <f>AND(F!B4,"AAAAAFr/owg=")</f>
        <v>#VALUE!</v>
      </c>
      <c r="J6" t="e">
        <f>AND(F!C4,"AAAAAFr/owk=")</f>
        <v>#VALUE!</v>
      </c>
      <c r="K6" t="e">
        <f>AND(F!D4,"AAAAAFr/owo=")</f>
        <v>#VALUE!</v>
      </c>
      <c r="L6" t="e">
        <f>AND(F!E4,"AAAAAFr/ows=")</f>
        <v>#VALUE!</v>
      </c>
      <c r="M6" t="e">
        <f>AND(F!F4,"AAAAAFr/oww=")</f>
        <v>#VALUE!</v>
      </c>
      <c r="N6" t="e">
        <f>AND(F!G4,"AAAAAFr/ow0=")</f>
        <v>#VALUE!</v>
      </c>
      <c r="O6" t="e">
        <f>AND(F!H4,"AAAAAFr/ow4=")</f>
        <v>#VALUE!</v>
      </c>
      <c r="P6">
        <f>IF(F!5:5,"AAAAAFr/ow8=",0)</f>
        <v>0</v>
      </c>
      <c r="Q6" t="e">
        <f>AND(F!A5,"AAAAAFr/oxA=")</f>
        <v>#VALUE!</v>
      </c>
      <c r="R6" t="e">
        <f>AND(F!B5,"AAAAAFr/oxE=")</f>
        <v>#VALUE!</v>
      </c>
      <c r="S6" t="e">
        <f>AND(F!C5,"AAAAAFr/oxI=")</f>
        <v>#VALUE!</v>
      </c>
      <c r="T6" t="e">
        <f>AND(F!D5,"AAAAAFr/oxM=")</f>
        <v>#VALUE!</v>
      </c>
      <c r="U6" t="e">
        <f>AND(F!E5,"AAAAAFr/oxQ=")</f>
        <v>#VALUE!</v>
      </c>
      <c r="V6" t="e">
        <f>AND(F!F5,"AAAAAFr/oxU=")</f>
        <v>#VALUE!</v>
      </c>
      <c r="W6" t="e">
        <f>AND(F!G5,"AAAAAFr/oxY=")</f>
        <v>#VALUE!</v>
      </c>
      <c r="X6" t="e">
        <f>AND(F!H5,"AAAAAFr/oxc=")</f>
        <v>#VALUE!</v>
      </c>
      <c r="Y6">
        <f>IF(F!6:6,"AAAAAFr/oxg=",0)</f>
        <v>0</v>
      </c>
      <c r="Z6" t="e">
        <f>AND(F!A6,"AAAAAFr/oxk=")</f>
        <v>#VALUE!</v>
      </c>
      <c r="AA6" t="e">
        <f>AND(F!B6,"AAAAAFr/oxo=")</f>
        <v>#VALUE!</v>
      </c>
      <c r="AB6" t="e">
        <f>AND(F!C6,"AAAAAFr/oxs=")</f>
        <v>#VALUE!</v>
      </c>
      <c r="AC6" t="e">
        <f>AND(F!D6,"AAAAAFr/oxw=")</f>
        <v>#VALUE!</v>
      </c>
      <c r="AD6" t="e">
        <f>AND(F!E6,"AAAAAFr/ox0=")</f>
        <v>#VALUE!</v>
      </c>
      <c r="AE6" t="e">
        <f>AND(F!F6,"AAAAAFr/ox4=")</f>
        <v>#VALUE!</v>
      </c>
      <c r="AF6" t="e">
        <f>AND(F!G6,"AAAAAFr/ox8=")</f>
        <v>#VALUE!</v>
      </c>
      <c r="AG6" t="e">
        <f>AND(F!H6,"AAAAAFr/oyA=")</f>
        <v>#VALUE!</v>
      </c>
      <c r="AH6">
        <f>IF(F!7:7,"AAAAAFr/oyE=",0)</f>
        <v>0</v>
      </c>
      <c r="AI6" t="e">
        <f>AND(F!A7,"AAAAAFr/oyI=")</f>
        <v>#VALUE!</v>
      </c>
      <c r="AJ6" t="e">
        <f>AND(F!B7,"AAAAAFr/oyM=")</f>
        <v>#VALUE!</v>
      </c>
      <c r="AK6" t="e">
        <f>AND(F!C7,"AAAAAFr/oyQ=")</f>
        <v>#VALUE!</v>
      </c>
      <c r="AL6" t="e">
        <f>AND(F!D7,"AAAAAFr/oyU=")</f>
        <v>#VALUE!</v>
      </c>
      <c r="AM6" t="e">
        <f>AND(F!E7,"AAAAAFr/oyY=")</f>
        <v>#VALUE!</v>
      </c>
      <c r="AN6" t="e">
        <f>AND(F!F7,"AAAAAFr/oyc=")</f>
        <v>#VALUE!</v>
      </c>
      <c r="AO6" t="e">
        <f>AND(F!G7,"AAAAAFr/oyg=")</f>
        <v>#VALUE!</v>
      </c>
      <c r="AP6" t="e">
        <f>AND(F!H7,"AAAAAFr/oyk=")</f>
        <v>#VALUE!</v>
      </c>
      <c r="AQ6">
        <f>IF(F!8:8,"AAAAAFr/oyo=",0)</f>
        <v>0</v>
      </c>
      <c r="AR6" t="e">
        <f>AND(F!A8,"AAAAAFr/oys=")</f>
        <v>#VALUE!</v>
      </c>
      <c r="AS6" t="e">
        <f>AND(F!B8,"AAAAAFr/oyw=")</f>
        <v>#VALUE!</v>
      </c>
      <c r="AT6" t="e">
        <f>AND(F!C8,"AAAAAFr/oy0=")</f>
        <v>#VALUE!</v>
      </c>
      <c r="AU6" t="e">
        <f>AND(F!D8,"AAAAAFr/oy4=")</f>
        <v>#VALUE!</v>
      </c>
      <c r="AV6" t="e">
        <f>AND(F!E8,"AAAAAFr/oy8=")</f>
        <v>#VALUE!</v>
      </c>
      <c r="AW6" t="e">
        <f>AND(F!F8,"AAAAAFr/ozA=")</f>
        <v>#VALUE!</v>
      </c>
      <c r="AX6" t="e">
        <f>AND(F!G8,"AAAAAFr/ozE=")</f>
        <v>#VALUE!</v>
      </c>
      <c r="AY6" t="e">
        <f>AND(F!H8,"AAAAAFr/ozI=")</f>
        <v>#VALUE!</v>
      </c>
      <c r="AZ6">
        <f>IF(F!9:9,"AAAAAFr/ozM=",0)</f>
        <v>0</v>
      </c>
      <c r="BA6" t="e">
        <f>AND(F!A9,"AAAAAFr/ozQ=")</f>
        <v>#VALUE!</v>
      </c>
      <c r="BB6" t="e">
        <f>AND(F!B9,"AAAAAFr/ozU=")</f>
        <v>#VALUE!</v>
      </c>
      <c r="BC6" t="e">
        <f>AND(F!C9,"AAAAAFr/ozY=")</f>
        <v>#VALUE!</v>
      </c>
      <c r="BD6" t="e">
        <f>AND(F!D9,"AAAAAFr/ozc=")</f>
        <v>#VALUE!</v>
      </c>
      <c r="BE6" t="e">
        <f>AND(F!E9,"AAAAAFr/ozg=")</f>
        <v>#VALUE!</v>
      </c>
      <c r="BF6" t="e">
        <f>AND(F!F9,"AAAAAFr/ozk=")</f>
        <v>#VALUE!</v>
      </c>
      <c r="BG6" t="e">
        <f>AND(F!G9,"AAAAAFr/ozo=")</f>
        <v>#VALUE!</v>
      </c>
      <c r="BH6" t="e">
        <f>AND(F!H9,"AAAAAFr/ozs=")</f>
        <v>#VALUE!</v>
      </c>
      <c r="BI6">
        <f>IF(F!10:10,"AAAAAFr/ozw=",0)</f>
        <v>0</v>
      </c>
      <c r="BJ6" t="e">
        <f>AND(F!A10,"AAAAAFr/oz0=")</f>
        <v>#VALUE!</v>
      </c>
      <c r="BK6" t="e">
        <f>AND(F!B10,"AAAAAFr/oz4=")</f>
        <v>#VALUE!</v>
      </c>
      <c r="BL6" t="e">
        <f>AND(F!C10,"AAAAAFr/oz8=")</f>
        <v>#VALUE!</v>
      </c>
      <c r="BM6" t="e">
        <f>AND(F!D10,"AAAAAFr/o0A=")</f>
        <v>#VALUE!</v>
      </c>
      <c r="BN6" t="e">
        <f>AND(F!E10,"AAAAAFr/o0E=")</f>
        <v>#VALUE!</v>
      </c>
      <c r="BO6" t="e">
        <f>AND(F!F10,"AAAAAFr/o0I=")</f>
        <v>#VALUE!</v>
      </c>
      <c r="BP6" t="e">
        <f>AND(F!G10,"AAAAAFr/o0M=")</f>
        <v>#VALUE!</v>
      </c>
      <c r="BQ6" t="e">
        <f>AND(F!H10,"AAAAAFr/o0Q=")</f>
        <v>#VALUE!</v>
      </c>
      <c r="BR6">
        <f>IF(F!11:11,"AAAAAFr/o0U=",0)</f>
        <v>0</v>
      </c>
      <c r="BS6" t="e">
        <f>AND(F!A11,"AAAAAFr/o0Y=")</f>
        <v>#VALUE!</v>
      </c>
      <c r="BT6" t="e">
        <f>AND(F!B11,"AAAAAFr/o0c=")</f>
        <v>#VALUE!</v>
      </c>
      <c r="BU6" t="e">
        <f>AND(F!C11,"AAAAAFr/o0g=")</f>
        <v>#VALUE!</v>
      </c>
      <c r="BV6" t="e">
        <f>AND(F!D11,"AAAAAFr/o0k=")</f>
        <v>#VALUE!</v>
      </c>
      <c r="BW6" t="e">
        <f>AND(F!E11,"AAAAAFr/o0o=")</f>
        <v>#VALUE!</v>
      </c>
      <c r="BX6" t="e">
        <f>AND(F!F11,"AAAAAFr/o0s=")</f>
        <v>#VALUE!</v>
      </c>
      <c r="BY6" t="e">
        <f>AND(F!G11,"AAAAAFr/o0w=")</f>
        <v>#VALUE!</v>
      </c>
      <c r="BZ6" t="e">
        <f>AND(F!H11,"AAAAAFr/o00=")</f>
        <v>#VALUE!</v>
      </c>
      <c r="CA6">
        <f>IF(F!12:12,"AAAAAFr/o04=",0)</f>
        <v>0</v>
      </c>
      <c r="CB6" t="e">
        <f>AND(F!A12,"AAAAAFr/o08=")</f>
        <v>#VALUE!</v>
      </c>
      <c r="CC6" t="e">
        <f>AND(F!B12,"AAAAAFr/o1A=")</f>
        <v>#VALUE!</v>
      </c>
      <c r="CD6" t="e">
        <f>AND(F!C12,"AAAAAFr/o1E=")</f>
        <v>#VALUE!</v>
      </c>
      <c r="CE6" t="e">
        <f>AND(F!D12,"AAAAAFr/o1I=")</f>
        <v>#VALUE!</v>
      </c>
      <c r="CF6" t="e">
        <f>AND(F!E12,"AAAAAFr/o1M=")</f>
        <v>#VALUE!</v>
      </c>
      <c r="CG6" t="e">
        <f>AND(F!F12,"AAAAAFr/o1Q=")</f>
        <v>#VALUE!</v>
      </c>
      <c r="CH6" t="e">
        <f>AND(F!G12,"AAAAAFr/o1U=")</f>
        <v>#VALUE!</v>
      </c>
      <c r="CI6" t="e">
        <f>AND(F!H12,"AAAAAFr/o1Y=")</f>
        <v>#VALUE!</v>
      </c>
      <c r="CJ6">
        <f>IF(F!13:13,"AAAAAFr/o1c=",0)</f>
        <v>0</v>
      </c>
      <c r="CK6" t="e">
        <f>AND(F!A13,"AAAAAFr/o1g=")</f>
        <v>#VALUE!</v>
      </c>
      <c r="CL6" t="e">
        <f>AND(F!B13,"AAAAAFr/o1k=")</f>
        <v>#VALUE!</v>
      </c>
      <c r="CM6" t="e">
        <f>AND(F!C13,"AAAAAFr/o1o=")</f>
        <v>#VALUE!</v>
      </c>
      <c r="CN6" t="e">
        <f>AND(F!D13,"AAAAAFr/o1s=")</f>
        <v>#VALUE!</v>
      </c>
      <c r="CO6" t="e">
        <f>AND(F!E13,"AAAAAFr/o1w=")</f>
        <v>#VALUE!</v>
      </c>
      <c r="CP6" t="e">
        <f>AND(F!F13,"AAAAAFr/o10=")</f>
        <v>#VALUE!</v>
      </c>
      <c r="CQ6" t="e">
        <f>AND(F!G13,"AAAAAFr/o14=")</f>
        <v>#VALUE!</v>
      </c>
      <c r="CR6" t="e">
        <f>AND(F!H13,"AAAAAFr/o18=")</f>
        <v>#VALUE!</v>
      </c>
      <c r="CS6">
        <f>IF(F!14:14,"AAAAAFr/o2A=",0)</f>
        <v>0</v>
      </c>
      <c r="CT6" t="e">
        <f>AND(F!A14,"AAAAAFr/o2E=")</f>
        <v>#VALUE!</v>
      </c>
      <c r="CU6" t="e">
        <f>AND(F!B14,"AAAAAFr/o2I=")</f>
        <v>#VALUE!</v>
      </c>
      <c r="CV6" t="e">
        <f>AND(F!C14,"AAAAAFr/o2M=")</f>
        <v>#VALUE!</v>
      </c>
      <c r="CW6" t="e">
        <f>AND(F!D14,"AAAAAFr/o2Q=")</f>
        <v>#VALUE!</v>
      </c>
      <c r="CX6" t="e">
        <f>AND(F!E14,"AAAAAFr/o2U=")</f>
        <v>#VALUE!</v>
      </c>
      <c r="CY6" t="e">
        <f>AND(F!F14,"AAAAAFr/o2Y=")</f>
        <v>#VALUE!</v>
      </c>
      <c r="CZ6" t="e">
        <f>AND(F!G14,"AAAAAFr/o2c=")</f>
        <v>#VALUE!</v>
      </c>
      <c r="DA6" t="e">
        <f>AND(F!H14,"AAAAAFr/o2g=")</f>
        <v>#VALUE!</v>
      </c>
      <c r="DB6">
        <f>IF(F!15:15,"AAAAAFr/o2k=",0)</f>
        <v>0</v>
      </c>
      <c r="DC6" t="e">
        <f>AND(F!A15,"AAAAAFr/o2o=")</f>
        <v>#VALUE!</v>
      </c>
      <c r="DD6" t="e">
        <f>AND(F!B15,"AAAAAFr/o2s=")</f>
        <v>#VALUE!</v>
      </c>
      <c r="DE6" t="e">
        <f>AND(F!C15,"AAAAAFr/o2w=")</f>
        <v>#VALUE!</v>
      </c>
      <c r="DF6" t="e">
        <f>AND(F!D15,"AAAAAFr/o20=")</f>
        <v>#VALUE!</v>
      </c>
      <c r="DG6" t="e">
        <f>AND(F!E15,"AAAAAFr/o24=")</f>
        <v>#VALUE!</v>
      </c>
      <c r="DH6" t="e">
        <f>AND(F!F15,"AAAAAFr/o28=")</f>
        <v>#VALUE!</v>
      </c>
      <c r="DI6" t="e">
        <f>AND(F!G15,"AAAAAFr/o3A=")</f>
        <v>#VALUE!</v>
      </c>
      <c r="DJ6" t="e">
        <f>AND(F!H15,"AAAAAFr/o3E=")</f>
        <v>#VALUE!</v>
      </c>
      <c r="DK6">
        <f>IF(F!16:16,"AAAAAFr/o3I=",0)</f>
        <v>0</v>
      </c>
      <c r="DL6" t="e">
        <f>AND(F!A16,"AAAAAFr/o3M=")</f>
        <v>#VALUE!</v>
      </c>
      <c r="DM6" t="e">
        <f>AND(F!B16,"AAAAAFr/o3Q=")</f>
        <v>#VALUE!</v>
      </c>
      <c r="DN6" t="e">
        <f>AND(F!C16,"AAAAAFr/o3U=")</f>
        <v>#VALUE!</v>
      </c>
      <c r="DO6" t="e">
        <f>AND(F!D16,"AAAAAFr/o3Y=")</f>
        <v>#VALUE!</v>
      </c>
      <c r="DP6" t="e">
        <f>AND(F!E16,"AAAAAFr/o3c=")</f>
        <v>#VALUE!</v>
      </c>
      <c r="DQ6" t="e">
        <f>AND(F!F16,"AAAAAFr/o3g=")</f>
        <v>#VALUE!</v>
      </c>
      <c r="DR6" t="e">
        <f>AND(F!G16,"AAAAAFr/o3k=")</f>
        <v>#VALUE!</v>
      </c>
      <c r="DS6" t="e">
        <f>AND(F!H16,"AAAAAFr/o3o=")</f>
        <v>#VALUE!</v>
      </c>
      <c r="DT6">
        <f>IF(F!17:17,"AAAAAFr/o3s=",0)</f>
        <v>0</v>
      </c>
      <c r="DU6" t="e">
        <f>AND(F!A17,"AAAAAFr/o3w=")</f>
        <v>#VALUE!</v>
      </c>
      <c r="DV6" t="e">
        <f>AND(F!B17,"AAAAAFr/o30=")</f>
        <v>#VALUE!</v>
      </c>
      <c r="DW6" t="e">
        <f>AND(F!C17,"AAAAAFr/o34=")</f>
        <v>#VALUE!</v>
      </c>
      <c r="DX6" t="e">
        <f>AND(F!D17,"AAAAAFr/o38=")</f>
        <v>#VALUE!</v>
      </c>
      <c r="DY6" t="e">
        <f>AND(F!E17,"AAAAAFr/o4A=")</f>
        <v>#VALUE!</v>
      </c>
      <c r="DZ6" t="e">
        <f>AND(F!F17,"AAAAAFr/o4E=")</f>
        <v>#VALUE!</v>
      </c>
      <c r="EA6" t="e">
        <f>AND(F!G17,"AAAAAFr/o4I=")</f>
        <v>#VALUE!</v>
      </c>
      <c r="EB6" t="e">
        <f>AND(F!H17,"AAAAAFr/o4M=")</f>
        <v>#VALUE!</v>
      </c>
      <c r="EC6">
        <f>IF(F!18:18,"AAAAAFr/o4Q=",0)</f>
        <v>0</v>
      </c>
      <c r="ED6" t="e">
        <f>AND(F!A18,"AAAAAFr/o4U=")</f>
        <v>#VALUE!</v>
      </c>
      <c r="EE6" t="e">
        <f>AND(F!B18,"AAAAAFr/o4Y=")</f>
        <v>#VALUE!</v>
      </c>
      <c r="EF6" t="e">
        <f>AND(F!C18,"AAAAAFr/o4c=")</f>
        <v>#VALUE!</v>
      </c>
      <c r="EG6" t="e">
        <f>AND(F!D18,"AAAAAFr/o4g=")</f>
        <v>#VALUE!</v>
      </c>
      <c r="EH6" t="e">
        <f>AND(F!E18,"AAAAAFr/o4k=")</f>
        <v>#VALUE!</v>
      </c>
      <c r="EI6" t="e">
        <f>AND(F!F18,"AAAAAFr/o4o=")</f>
        <v>#VALUE!</v>
      </c>
      <c r="EJ6" t="e">
        <f>AND(F!G18,"AAAAAFr/o4s=")</f>
        <v>#VALUE!</v>
      </c>
      <c r="EK6" t="e">
        <f>AND(F!H18,"AAAAAFr/o4w=")</f>
        <v>#VALUE!</v>
      </c>
      <c r="EL6">
        <f>IF(F!19:19,"AAAAAFr/o40=",0)</f>
        <v>0</v>
      </c>
      <c r="EM6" t="e">
        <f>AND(F!A19,"AAAAAFr/o44=")</f>
        <v>#VALUE!</v>
      </c>
      <c r="EN6" t="e">
        <f>AND(F!B19,"AAAAAFr/o48=")</f>
        <v>#VALUE!</v>
      </c>
      <c r="EO6" t="e">
        <f>AND(F!C19,"AAAAAFr/o5A=")</f>
        <v>#VALUE!</v>
      </c>
      <c r="EP6" t="e">
        <f>AND(F!D19,"AAAAAFr/o5E=")</f>
        <v>#VALUE!</v>
      </c>
      <c r="EQ6" t="e">
        <f>AND(F!E19,"AAAAAFr/o5I=")</f>
        <v>#VALUE!</v>
      </c>
      <c r="ER6" t="e">
        <f>AND(F!F19,"AAAAAFr/o5M=")</f>
        <v>#VALUE!</v>
      </c>
      <c r="ES6" t="e">
        <f>AND(F!G19,"AAAAAFr/o5Q=")</f>
        <v>#VALUE!</v>
      </c>
      <c r="ET6" t="e">
        <f>AND(F!H19,"AAAAAFr/o5U=")</f>
        <v>#VALUE!</v>
      </c>
      <c r="EU6">
        <f>IF(F!20:20,"AAAAAFr/o5Y=",0)</f>
        <v>0</v>
      </c>
      <c r="EV6" t="e">
        <f>AND(F!A20,"AAAAAFr/o5c=")</f>
        <v>#VALUE!</v>
      </c>
      <c r="EW6" t="e">
        <f>AND(F!B20,"AAAAAFr/o5g=")</f>
        <v>#VALUE!</v>
      </c>
      <c r="EX6" t="e">
        <f>AND(F!C20,"AAAAAFr/o5k=")</f>
        <v>#VALUE!</v>
      </c>
      <c r="EY6" t="e">
        <f>AND(F!D20,"AAAAAFr/o5o=")</f>
        <v>#VALUE!</v>
      </c>
      <c r="EZ6" t="e">
        <f>AND(F!E20,"AAAAAFr/o5s=")</f>
        <v>#VALUE!</v>
      </c>
      <c r="FA6" t="e">
        <f>AND(F!F20,"AAAAAFr/o5w=")</f>
        <v>#VALUE!</v>
      </c>
      <c r="FB6" t="e">
        <f>AND(F!G20,"AAAAAFr/o50=")</f>
        <v>#VALUE!</v>
      </c>
      <c r="FC6" t="e">
        <f>AND(F!H20,"AAAAAFr/o54=")</f>
        <v>#VALUE!</v>
      </c>
      <c r="FD6">
        <f>IF(F!21:21,"AAAAAFr/o58=",0)</f>
        <v>0</v>
      </c>
      <c r="FE6" t="e">
        <f>AND(F!A21,"AAAAAFr/o6A=")</f>
        <v>#VALUE!</v>
      </c>
      <c r="FF6" t="e">
        <f>AND(F!B21,"AAAAAFr/o6E=")</f>
        <v>#VALUE!</v>
      </c>
      <c r="FG6" t="e">
        <f>AND(F!C21,"AAAAAFr/o6I=")</f>
        <v>#VALUE!</v>
      </c>
      <c r="FH6" t="e">
        <f>AND(F!D21,"AAAAAFr/o6M=")</f>
        <v>#VALUE!</v>
      </c>
      <c r="FI6" t="e">
        <f>AND(F!E21,"AAAAAFr/o6Q=")</f>
        <v>#VALUE!</v>
      </c>
      <c r="FJ6" t="e">
        <f>AND(F!F21,"AAAAAFr/o6U=")</f>
        <v>#VALUE!</v>
      </c>
      <c r="FK6" t="e">
        <f>AND(F!G21,"AAAAAFr/o6Y=")</f>
        <v>#VALUE!</v>
      </c>
      <c r="FL6" t="e">
        <f>AND(F!H21,"AAAAAFr/o6c=")</f>
        <v>#VALUE!</v>
      </c>
      <c r="FM6">
        <f>IF(F!22:22,"AAAAAFr/o6g=",0)</f>
        <v>0</v>
      </c>
      <c r="FN6" t="e">
        <f>AND(F!A22,"AAAAAFr/o6k=")</f>
        <v>#VALUE!</v>
      </c>
      <c r="FO6" t="e">
        <f>AND(F!B22,"AAAAAFr/o6o=")</f>
        <v>#VALUE!</v>
      </c>
      <c r="FP6" t="e">
        <f>AND(F!C22,"AAAAAFr/o6s=")</f>
        <v>#VALUE!</v>
      </c>
      <c r="FQ6" t="e">
        <f>AND(F!D22,"AAAAAFr/o6w=")</f>
        <v>#VALUE!</v>
      </c>
      <c r="FR6" t="e">
        <f>AND(F!E22,"AAAAAFr/o60=")</f>
        <v>#VALUE!</v>
      </c>
      <c r="FS6" t="e">
        <f>AND(F!F22,"AAAAAFr/o64=")</f>
        <v>#VALUE!</v>
      </c>
      <c r="FT6" t="e">
        <f>AND(F!G22,"AAAAAFr/o68=")</f>
        <v>#VALUE!</v>
      </c>
      <c r="FU6" t="e">
        <f>AND(F!H22,"AAAAAFr/o7A=")</f>
        <v>#VALUE!</v>
      </c>
      <c r="FV6">
        <f>IF(F!23:23,"AAAAAFr/o7E=",0)</f>
        <v>0</v>
      </c>
      <c r="FW6">
        <f>IF(F!24:24,"AAAAAFr/o7I=",0)</f>
        <v>0</v>
      </c>
      <c r="FX6">
        <f>IF(F!25:25,"AAAAAFr/o7M=",0)</f>
        <v>0</v>
      </c>
      <c r="FY6">
        <f>IF(F!A:A,"AAAAAFr/o7Q=",0)</f>
        <v>0</v>
      </c>
      <c r="FZ6">
        <f>IF(F!B:B,"AAAAAFr/o7U=",0)</f>
        <v>0</v>
      </c>
      <c r="GA6">
        <f>IF(F!C:C,"AAAAAFr/o7Y=",0)</f>
        <v>0</v>
      </c>
      <c r="GB6">
        <f>IF(F!D:D,"AAAAAFr/o7c=",0)</f>
        <v>0</v>
      </c>
      <c r="GC6">
        <f>IF(F!E:E,"AAAAAFr/o7g=",0)</f>
        <v>0</v>
      </c>
      <c r="GD6">
        <f>IF(F!F:F,"AAAAAFr/o7k=",0)</f>
        <v>0</v>
      </c>
      <c r="GE6">
        <f>IF(F!G:G,"AAAAAFr/o7o=",0)</f>
        <v>0</v>
      </c>
      <c r="GF6">
        <f>IF(F!H:H,"AAAAAFr/o7s=",0)</f>
        <v>0</v>
      </c>
      <c r="GG6">
        <f>IF(ChiSq!1:1,"AAAAAFr/o7w=",0)</f>
        <v>0</v>
      </c>
      <c r="GH6" t="e">
        <f>AND(ChiSq!B1,"AAAAAFr/o70=")</f>
        <v>#VALUE!</v>
      </c>
      <c r="GI6" t="e">
        <f>AND(ChiSq!C1,"AAAAAFr/o74=")</f>
        <v>#VALUE!</v>
      </c>
      <c r="GJ6" t="e">
        <f>AND(ChiSq!D1,"AAAAAFr/o78=")</f>
        <v>#VALUE!</v>
      </c>
      <c r="GK6" t="e">
        <f>AND(ChiSq!E1,"AAAAAFr/o8A=")</f>
        <v>#VALUE!</v>
      </c>
      <c r="GL6" t="e">
        <f>AND(ChiSq!F1,"AAAAAFr/o8E=")</f>
        <v>#VALUE!</v>
      </c>
      <c r="GM6" t="e">
        <f>AND(ChiSq!G1,"AAAAAFr/o8I=")</f>
        <v>#VALUE!</v>
      </c>
      <c r="GN6" t="e">
        <f>AND(ChiSq!H1,"AAAAAFr/o8M=")</f>
        <v>#VALUE!</v>
      </c>
      <c r="GO6" t="e">
        <f>AND(ChiSq!I1,"AAAAAFr/o8Q=")</f>
        <v>#VALUE!</v>
      </c>
      <c r="GP6" t="e">
        <f>AND(ChiSq!J1,"AAAAAFr/o8U=")</f>
        <v>#VALUE!</v>
      </c>
      <c r="GQ6" t="e">
        <f>AND(ChiSq!K1,"AAAAAFr/o8Y=")</f>
        <v>#VALUE!</v>
      </c>
      <c r="GR6" t="e">
        <f>AND(ChiSq!L1,"AAAAAFr/o8c=")</f>
        <v>#VALUE!</v>
      </c>
      <c r="GS6" t="e">
        <f>AND(ChiSq!M1,"AAAAAFr/o8g=")</f>
        <v>#VALUE!</v>
      </c>
      <c r="GT6">
        <f>IF(ChiSq!2:2,"AAAAAFr/o8k=",0)</f>
        <v>0</v>
      </c>
      <c r="GU6" t="e">
        <f>AND(ChiSq!B2,"AAAAAFr/o8o=")</f>
        <v>#VALUE!</v>
      </c>
      <c r="GV6" t="e">
        <f>AND(ChiSq!C2,"AAAAAFr/o8s=")</f>
        <v>#VALUE!</v>
      </c>
      <c r="GW6" t="e">
        <f>AND(ChiSq!D2,"AAAAAFr/o8w=")</f>
        <v>#VALUE!</v>
      </c>
      <c r="GX6" t="e">
        <f>AND(ChiSq!E2,"AAAAAFr/o80=")</f>
        <v>#VALUE!</v>
      </c>
      <c r="GY6" t="e">
        <f>AND(ChiSq!F2,"AAAAAFr/o84=")</f>
        <v>#VALUE!</v>
      </c>
      <c r="GZ6" t="e">
        <f>AND(ChiSq!G2,"AAAAAFr/o88=")</f>
        <v>#VALUE!</v>
      </c>
      <c r="HA6" t="e">
        <f>AND(ChiSq!H2,"AAAAAFr/o9A=")</f>
        <v>#VALUE!</v>
      </c>
      <c r="HB6" t="e">
        <f>AND(ChiSq!I2,"AAAAAFr/o9E=")</f>
        <v>#VALUE!</v>
      </c>
      <c r="HC6" t="e">
        <f>AND(ChiSq!J2,"AAAAAFr/o9I=")</f>
        <v>#VALUE!</v>
      </c>
      <c r="HD6" t="e">
        <f>AND(ChiSq!K2,"AAAAAFr/o9M=")</f>
        <v>#VALUE!</v>
      </c>
      <c r="HE6" t="e">
        <f>AND(ChiSq!L2,"AAAAAFr/o9Q=")</f>
        <v>#VALUE!</v>
      </c>
      <c r="HF6" t="e">
        <f>AND(ChiSq!M2,"AAAAAFr/o9U=")</f>
        <v>#VALUE!</v>
      </c>
      <c r="HG6">
        <f>IF(ChiSq!3:3,"AAAAAFr/o9Y=",0)</f>
        <v>0</v>
      </c>
      <c r="HH6" t="e">
        <f>AND(ChiSq!B3,"AAAAAFr/o9c=")</f>
        <v>#VALUE!</v>
      </c>
      <c r="HI6" t="e">
        <f>AND(ChiSq!C3,"AAAAAFr/o9g=")</f>
        <v>#VALUE!</v>
      </c>
      <c r="HJ6" t="e">
        <f>AND(ChiSq!D3,"AAAAAFr/o9k=")</f>
        <v>#VALUE!</v>
      </c>
      <c r="HK6" t="e">
        <f>AND(ChiSq!E3,"AAAAAFr/o9o=")</f>
        <v>#VALUE!</v>
      </c>
      <c r="HL6" t="e">
        <f>AND(ChiSq!F3,"AAAAAFr/o9s=")</f>
        <v>#VALUE!</v>
      </c>
      <c r="HM6" t="e">
        <f>AND(ChiSq!G3,"AAAAAFr/o9w=")</f>
        <v>#VALUE!</v>
      </c>
      <c r="HN6" t="e">
        <f>AND(ChiSq!H3,"AAAAAFr/o90=")</f>
        <v>#VALUE!</v>
      </c>
      <c r="HO6" t="e">
        <f>AND(ChiSq!I3,"AAAAAFr/o94=")</f>
        <v>#VALUE!</v>
      </c>
      <c r="HP6" t="e">
        <f>AND(ChiSq!J3,"AAAAAFr/o98=")</f>
        <v>#VALUE!</v>
      </c>
      <c r="HQ6" t="e">
        <f>AND(ChiSq!K3,"AAAAAFr/o+A=")</f>
        <v>#VALUE!</v>
      </c>
      <c r="HR6" t="e">
        <f>AND(ChiSq!L3,"AAAAAFr/o+E=")</f>
        <v>#VALUE!</v>
      </c>
      <c r="HS6" t="e">
        <f>AND(ChiSq!M3,"AAAAAFr/o+I=")</f>
        <v>#VALUE!</v>
      </c>
      <c r="HT6">
        <f>IF(ChiSq!4:4,"AAAAAFr/o+M=",0)</f>
        <v>0</v>
      </c>
      <c r="HU6" t="e">
        <f>AND(ChiSq!B4,"AAAAAFr/o+Q=")</f>
        <v>#VALUE!</v>
      </c>
      <c r="HV6" t="e">
        <f>AND(ChiSq!C4,"AAAAAFr/o+U=")</f>
        <v>#VALUE!</v>
      </c>
      <c r="HW6" t="e">
        <f>AND(ChiSq!D4,"AAAAAFr/o+Y=")</f>
        <v>#VALUE!</v>
      </c>
      <c r="HX6" t="e">
        <f>AND(ChiSq!E4,"AAAAAFr/o+c=")</f>
        <v>#VALUE!</v>
      </c>
      <c r="HY6" t="e">
        <f>AND(ChiSq!F4,"AAAAAFr/o+g=")</f>
        <v>#VALUE!</v>
      </c>
      <c r="HZ6" t="e">
        <f>AND(ChiSq!G4,"AAAAAFr/o+k=")</f>
        <v>#VALUE!</v>
      </c>
      <c r="IA6" t="e">
        <f>AND(ChiSq!H4,"AAAAAFr/o+o=")</f>
        <v>#VALUE!</v>
      </c>
      <c r="IB6" t="e">
        <f>AND(ChiSq!I4,"AAAAAFr/o+s=")</f>
        <v>#VALUE!</v>
      </c>
      <c r="IC6" t="e">
        <f>AND(ChiSq!J4,"AAAAAFr/o+w=")</f>
        <v>#VALUE!</v>
      </c>
      <c r="ID6" t="e">
        <f>AND(ChiSq!K4,"AAAAAFr/o+0=")</f>
        <v>#VALUE!</v>
      </c>
      <c r="IE6" t="e">
        <f>AND(ChiSq!L4,"AAAAAFr/o+4=")</f>
        <v>#VALUE!</v>
      </c>
      <c r="IF6" t="e">
        <f>AND(ChiSq!M4,"AAAAAFr/o+8=")</f>
        <v>#VALUE!</v>
      </c>
      <c r="IG6">
        <f>IF(ChiSq!5:5,"AAAAAFr/o/A=",0)</f>
        <v>0</v>
      </c>
      <c r="IH6" t="e">
        <f>AND(ChiSq!B5,"AAAAAFr/o/E=")</f>
        <v>#VALUE!</v>
      </c>
      <c r="II6" t="e">
        <f>AND(ChiSq!C5,"AAAAAFr/o/I=")</f>
        <v>#VALUE!</v>
      </c>
      <c r="IJ6" t="e">
        <f>AND(ChiSq!D5,"AAAAAFr/o/M=")</f>
        <v>#VALUE!</v>
      </c>
      <c r="IK6" t="e">
        <f>AND(ChiSq!E5,"AAAAAFr/o/Q=")</f>
        <v>#VALUE!</v>
      </c>
      <c r="IL6" t="e">
        <f>AND(ChiSq!F5,"AAAAAFr/o/U=")</f>
        <v>#VALUE!</v>
      </c>
      <c r="IM6" t="e">
        <f>AND(ChiSq!G5,"AAAAAFr/o/Y=")</f>
        <v>#VALUE!</v>
      </c>
      <c r="IN6" t="e">
        <f>AND(ChiSq!H5,"AAAAAFr/o/c=")</f>
        <v>#VALUE!</v>
      </c>
      <c r="IO6" t="e">
        <f>AND(ChiSq!I5,"AAAAAFr/o/g=")</f>
        <v>#VALUE!</v>
      </c>
      <c r="IP6" t="e">
        <f>AND(ChiSq!J5,"AAAAAFr/o/k=")</f>
        <v>#VALUE!</v>
      </c>
      <c r="IQ6" t="e">
        <f>AND(ChiSq!K5,"AAAAAFr/o/o=")</f>
        <v>#VALUE!</v>
      </c>
      <c r="IR6" t="e">
        <f>AND(ChiSq!L5,"AAAAAFr/o/s=")</f>
        <v>#VALUE!</v>
      </c>
      <c r="IS6" t="e">
        <f>AND(ChiSq!M5,"AAAAAFr/o/w=")</f>
        <v>#VALUE!</v>
      </c>
      <c r="IT6">
        <f>IF(ChiSq!6:6,"AAAAAFr/o/0=",0)</f>
        <v>0</v>
      </c>
      <c r="IU6" t="e">
        <f>AND(ChiSq!B6,"AAAAAFr/o/4=")</f>
        <v>#VALUE!</v>
      </c>
      <c r="IV6" t="e">
        <f>AND(ChiSq!C6,"AAAAAFr/o/8=")</f>
        <v>#VALUE!</v>
      </c>
    </row>
    <row r="7" spans="1:213" ht="15.75">
      <c r="A7" t="e">
        <f>AND(ChiSq!D6,"AAAAAG7bqwA=")</f>
        <v>#VALUE!</v>
      </c>
      <c r="B7" t="e">
        <f>AND(ChiSq!E6,"AAAAAG7bqwE=")</f>
        <v>#VALUE!</v>
      </c>
      <c r="C7" t="e">
        <f>AND(ChiSq!F6,"AAAAAG7bqwI=")</f>
        <v>#VALUE!</v>
      </c>
      <c r="D7" t="e">
        <f>AND(ChiSq!G6,"AAAAAG7bqwM=")</f>
        <v>#VALUE!</v>
      </c>
      <c r="E7" t="e">
        <f>AND(ChiSq!H6,"AAAAAG7bqwQ=")</f>
        <v>#VALUE!</v>
      </c>
      <c r="F7" t="e">
        <f>AND(ChiSq!I6,"AAAAAG7bqwU=")</f>
        <v>#VALUE!</v>
      </c>
      <c r="G7" t="e">
        <f>AND(ChiSq!J6,"AAAAAG7bqwY=")</f>
        <v>#VALUE!</v>
      </c>
      <c r="H7" t="e">
        <f>AND(ChiSq!K6,"AAAAAG7bqwc=")</f>
        <v>#VALUE!</v>
      </c>
      <c r="I7" t="e">
        <f>AND(ChiSq!L6,"AAAAAG7bqwg=")</f>
        <v>#VALUE!</v>
      </c>
      <c r="J7" t="e">
        <f>AND(ChiSq!M6,"AAAAAG7bqwk=")</f>
        <v>#VALUE!</v>
      </c>
      <c r="K7">
        <f>IF(ChiSq!7:7,"AAAAAG7bqwo=",0)</f>
        <v>0</v>
      </c>
      <c r="L7" t="e">
        <f>AND(ChiSq!B7,"AAAAAG7bqws=")</f>
        <v>#VALUE!</v>
      </c>
      <c r="M7" t="e">
        <f>AND(ChiSq!C7,"AAAAAG7bqww=")</f>
        <v>#VALUE!</v>
      </c>
      <c r="N7" t="e">
        <f>AND(ChiSq!D7,"AAAAAG7bqw0=")</f>
        <v>#VALUE!</v>
      </c>
      <c r="O7" t="e">
        <f>AND(ChiSq!E7,"AAAAAG7bqw4=")</f>
        <v>#VALUE!</v>
      </c>
      <c r="P7" t="e">
        <f>AND(ChiSq!F7,"AAAAAG7bqw8=")</f>
        <v>#VALUE!</v>
      </c>
      <c r="Q7" t="e">
        <f>AND(ChiSq!G7,"AAAAAG7bqxA=")</f>
        <v>#VALUE!</v>
      </c>
      <c r="R7" t="e">
        <f>AND(ChiSq!H7,"AAAAAG7bqxE=")</f>
        <v>#VALUE!</v>
      </c>
      <c r="S7" t="e">
        <f>AND(ChiSq!I7,"AAAAAG7bqxI=")</f>
        <v>#VALUE!</v>
      </c>
      <c r="T7" t="e">
        <f>AND(ChiSq!J7,"AAAAAG7bqxM=")</f>
        <v>#VALUE!</v>
      </c>
      <c r="U7" t="e">
        <f>AND(ChiSq!K7,"AAAAAG7bqxQ=")</f>
        <v>#VALUE!</v>
      </c>
      <c r="V7" t="e">
        <f>AND(ChiSq!L7,"AAAAAG7bqxU=")</f>
        <v>#VALUE!</v>
      </c>
      <c r="W7" t="e">
        <f>AND(ChiSq!M7,"AAAAAG7bqxY=")</f>
        <v>#VALUE!</v>
      </c>
      <c r="X7">
        <f>IF(ChiSq!8:8,"AAAAAG7bqxc=",0)</f>
        <v>0</v>
      </c>
      <c r="Y7" t="e">
        <f>AND(ChiSq!B8,"AAAAAG7bqxg=")</f>
        <v>#VALUE!</v>
      </c>
      <c r="Z7" t="e">
        <f>AND(ChiSq!C8,"AAAAAG7bqxk=")</f>
        <v>#VALUE!</v>
      </c>
      <c r="AA7" t="e">
        <f>AND(ChiSq!D8,"AAAAAG7bqxo=")</f>
        <v>#VALUE!</v>
      </c>
      <c r="AB7" t="e">
        <f>AND(ChiSq!E8,"AAAAAG7bqxs=")</f>
        <v>#VALUE!</v>
      </c>
      <c r="AC7" t="e">
        <f>AND(ChiSq!F8,"AAAAAG7bqxw=")</f>
        <v>#VALUE!</v>
      </c>
      <c r="AD7" t="e">
        <f>AND(ChiSq!G8,"AAAAAG7bqx0=")</f>
        <v>#VALUE!</v>
      </c>
      <c r="AE7" t="e">
        <f>AND(ChiSq!H8,"AAAAAG7bqx4=")</f>
        <v>#VALUE!</v>
      </c>
      <c r="AF7" t="e">
        <f>AND(ChiSq!I8,"AAAAAG7bqx8=")</f>
        <v>#VALUE!</v>
      </c>
      <c r="AG7" t="e">
        <f>AND(ChiSq!J8,"AAAAAG7bqyA=")</f>
        <v>#VALUE!</v>
      </c>
      <c r="AH7" t="e">
        <f>AND(ChiSq!K8,"AAAAAG7bqyE=")</f>
        <v>#VALUE!</v>
      </c>
      <c r="AI7" t="e">
        <f>AND(ChiSq!L8,"AAAAAG7bqyI=")</f>
        <v>#VALUE!</v>
      </c>
      <c r="AJ7" t="e">
        <f>AND(ChiSq!M8,"AAAAAG7bqyM=")</f>
        <v>#VALUE!</v>
      </c>
      <c r="AK7">
        <f>IF(ChiSq!9:9,"AAAAAG7bqyQ=",0)</f>
        <v>0</v>
      </c>
      <c r="AL7" t="e">
        <f>AND(ChiSq!B9,"AAAAAG7bqyU=")</f>
        <v>#VALUE!</v>
      </c>
      <c r="AM7" t="e">
        <f>AND(ChiSq!C9,"AAAAAG7bqyY=")</f>
        <v>#VALUE!</v>
      </c>
      <c r="AN7" t="e">
        <f>AND(ChiSq!D9,"AAAAAG7bqyc=")</f>
        <v>#VALUE!</v>
      </c>
      <c r="AO7" t="e">
        <f>AND(ChiSq!E9,"AAAAAG7bqyg=")</f>
        <v>#VALUE!</v>
      </c>
      <c r="AP7" t="e">
        <f>AND(ChiSq!F9,"AAAAAG7bqyk=")</f>
        <v>#VALUE!</v>
      </c>
      <c r="AQ7" t="e">
        <f>AND(ChiSq!G9,"AAAAAG7bqyo=")</f>
        <v>#VALUE!</v>
      </c>
      <c r="AR7" t="e">
        <f>AND(ChiSq!H9,"AAAAAG7bqys=")</f>
        <v>#VALUE!</v>
      </c>
      <c r="AS7" t="e">
        <f>AND(ChiSq!I9,"AAAAAG7bqyw=")</f>
        <v>#VALUE!</v>
      </c>
      <c r="AT7" t="e">
        <f>AND(ChiSq!J9,"AAAAAG7bqy0=")</f>
        <v>#VALUE!</v>
      </c>
      <c r="AU7" t="e">
        <f>AND(ChiSq!K9,"AAAAAG7bqy4=")</f>
        <v>#VALUE!</v>
      </c>
      <c r="AV7" t="e">
        <f>AND(ChiSq!L9,"AAAAAG7bqy8=")</f>
        <v>#VALUE!</v>
      </c>
      <c r="AW7" t="e">
        <f>AND(ChiSq!M9,"AAAAAG7bqzA=")</f>
        <v>#VALUE!</v>
      </c>
      <c r="AX7">
        <f>IF(ChiSq!10:10,"AAAAAG7bqzE=",0)</f>
        <v>0</v>
      </c>
      <c r="AY7" t="e">
        <f>AND(ChiSq!B10,"AAAAAG7bqzI=")</f>
        <v>#VALUE!</v>
      </c>
      <c r="AZ7" t="e">
        <f>AND(ChiSq!C10,"AAAAAG7bqzM=")</f>
        <v>#VALUE!</v>
      </c>
      <c r="BA7" t="e">
        <f>AND(ChiSq!D10,"AAAAAG7bqzQ=")</f>
        <v>#VALUE!</v>
      </c>
      <c r="BB7" t="e">
        <f>AND(ChiSq!E10,"AAAAAG7bqzU=")</f>
        <v>#VALUE!</v>
      </c>
      <c r="BC7" t="e">
        <f>AND(ChiSq!F10,"AAAAAG7bqzY=")</f>
        <v>#VALUE!</v>
      </c>
      <c r="BD7" t="e">
        <f>AND(ChiSq!G10,"AAAAAG7bqzc=")</f>
        <v>#VALUE!</v>
      </c>
      <c r="BE7" t="e">
        <f>AND(ChiSq!H10,"AAAAAG7bqzg=")</f>
        <v>#VALUE!</v>
      </c>
      <c r="BF7" t="e">
        <f>AND(ChiSq!I10,"AAAAAG7bqzk=")</f>
        <v>#VALUE!</v>
      </c>
      <c r="BG7" t="e">
        <f>AND(ChiSq!J10,"AAAAAG7bqzo=")</f>
        <v>#VALUE!</v>
      </c>
      <c r="BH7" t="e">
        <f>AND(ChiSq!K10,"AAAAAG7bqzs=")</f>
        <v>#VALUE!</v>
      </c>
      <c r="BI7" t="e">
        <f>AND(ChiSq!L10,"AAAAAG7bqzw=")</f>
        <v>#VALUE!</v>
      </c>
      <c r="BJ7" t="e">
        <f>AND(ChiSq!M10,"AAAAAG7bqz0=")</f>
        <v>#VALUE!</v>
      </c>
      <c r="BK7">
        <f>IF(ChiSq!11:11,"AAAAAG7bqz4=",0)</f>
        <v>0</v>
      </c>
      <c r="BL7" t="e">
        <f>AND(ChiSq!B11,"AAAAAG7bqz8=")</f>
        <v>#VALUE!</v>
      </c>
      <c r="BM7" t="e">
        <f>AND(ChiSq!C11,"AAAAAG7bq0A=")</f>
        <v>#VALUE!</v>
      </c>
      <c r="BN7" t="e">
        <f>AND(ChiSq!D11,"AAAAAG7bq0E=")</f>
        <v>#VALUE!</v>
      </c>
      <c r="BO7" t="e">
        <f>AND(ChiSq!E11,"AAAAAG7bq0I=")</f>
        <v>#VALUE!</v>
      </c>
      <c r="BP7" t="e">
        <f>AND(ChiSq!F11,"AAAAAG7bq0M=")</f>
        <v>#VALUE!</v>
      </c>
      <c r="BQ7" t="e">
        <f>AND(ChiSq!G11,"AAAAAG7bq0Q=")</f>
        <v>#VALUE!</v>
      </c>
      <c r="BR7" t="e">
        <f>AND(ChiSq!H11,"AAAAAG7bq0U=")</f>
        <v>#VALUE!</v>
      </c>
      <c r="BS7" t="e">
        <f>AND(ChiSq!I11,"AAAAAG7bq0Y=")</f>
        <v>#VALUE!</v>
      </c>
      <c r="BT7" t="e">
        <f>AND(ChiSq!J11,"AAAAAG7bq0c=")</f>
        <v>#VALUE!</v>
      </c>
      <c r="BU7" t="e">
        <f>AND(ChiSq!K11,"AAAAAG7bq0g=")</f>
        <v>#VALUE!</v>
      </c>
      <c r="BV7" t="e">
        <f>AND(ChiSq!L11,"AAAAAG7bq0k=")</f>
        <v>#VALUE!</v>
      </c>
      <c r="BW7" t="e">
        <f>AND(ChiSq!M11,"AAAAAG7bq0o=")</f>
        <v>#VALUE!</v>
      </c>
      <c r="BX7">
        <f>IF(ChiSq!12:12,"AAAAAG7bq0s=",0)</f>
        <v>0</v>
      </c>
      <c r="BY7" t="e">
        <f>AND(ChiSq!B12,"AAAAAG7bq0w=")</f>
        <v>#VALUE!</v>
      </c>
      <c r="BZ7" t="e">
        <f>AND(ChiSq!C12,"AAAAAG7bq00=")</f>
        <v>#VALUE!</v>
      </c>
      <c r="CA7" t="e">
        <f>AND(ChiSq!D12,"AAAAAG7bq04=")</f>
        <v>#VALUE!</v>
      </c>
      <c r="CB7" t="e">
        <f>AND(ChiSq!E12,"AAAAAG7bq08=")</f>
        <v>#VALUE!</v>
      </c>
      <c r="CC7" t="e">
        <f>AND(ChiSq!F12,"AAAAAG7bq1A=")</f>
        <v>#VALUE!</v>
      </c>
      <c r="CD7" t="e">
        <f>AND(ChiSq!G12,"AAAAAG7bq1E=")</f>
        <v>#VALUE!</v>
      </c>
      <c r="CE7" t="e">
        <f>AND(ChiSq!H12,"AAAAAG7bq1I=")</f>
        <v>#VALUE!</v>
      </c>
      <c r="CF7" t="e">
        <f>AND(ChiSq!I12,"AAAAAG7bq1M=")</f>
        <v>#VALUE!</v>
      </c>
      <c r="CG7" t="e">
        <f>AND(ChiSq!J12,"AAAAAG7bq1Q=")</f>
        <v>#VALUE!</v>
      </c>
      <c r="CH7" t="e">
        <f>AND(ChiSq!K12,"AAAAAG7bq1U=")</f>
        <v>#VALUE!</v>
      </c>
      <c r="CI7" t="e">
        <f>AND(ChiSq!L12,"AAAAAG7bq1Y=")</f>
        <v>#VALUE!</v>
      </c>
      <c r="CJ7" t="e">
        <f>AND(ChiSq!M12,"AAAAAG7bq1c=")</f>
        <v>#VALUE!</v>
      </c>
      <c r="CK7">
        <f>IF(ChiSq!13:13,"AAAAAG7bq1g=",0)</f>
        <v>0</v>
      </c>
      <c r="CL7" t="e">
        <f>AND(ChiSq!B13,"AAAAAG7bq1k=")</f>
        <v>#VALUE!</v>
      </c>
      <c r="CM7" t="e">
        <f>AND(ChiSq!C13,"AAAAAG7bq1o=")</f>
        <v>#VALUE!</v>
      </c>
      <c r="CN7" t="e">
        <f>AND(ChiSq!D13,"AAAAAG7bq1s=")</f>
        <v>#VALUE!</v>
      </c>
      <c r="CO7" t="e">
        <f>AND(ChiSq!E13,"AAAAAG7bq1w=")</f>
        <v>#VALUE!</v>
      </c>
      <c r="CP7" t="e">
        <f>AND(ChiSq!F13,"AAAAAG7bq10=")</f>
        <v>#VALUE!</v>
      </c>
      <c r="CQ7" t="e">
        <f>AND(ChiSq!G13,"AAAAAG7bq14=")</f>
        <v>#VALUE!</v>
      </c>
      <c r="CR7" t="e">
        <f>AND(ChiSq!H13,"AAAAAG7bq18=")</f>
        <v>#VALUE!</v>
      </c>
      <c r="CS7" t="e">
        <f>AND(ChiSq!I13,"AAAAAG7bq2A=")</f>
        <v>#VALUE!</v>
      </c>
      <c r="CT7" t="e">
        <f>AND(ChiSq!J13,"AAAAAG7bq2E=")</f>
        <v>#VALUE!</v>
      </c>
      <c r="CU7" t="e">
        <f>AND(ChiSq!K13,"AAAAAG7bq2I=")</f>
        <v>#VALUE!</v>
      </c>
      <c r="CV7" t="e">
        <f>AND(ChiSq!L13,"AAAAAG7bq2M=")</f>
        <v>#VALUE!</v>
      </c>
      <c r="CW7" t="e">
        <f>AND(ChiSq!M13,"AAAAAG7bq2Q=")</f>
        <v>#VALUE!</v>
      </c>
      <c r="CX7">
        <f>IF(ChiSq!14:14,"AAAAAG7bq2U=",0)</f>
        <v>0</v>
      </c>
      <c r="CY7" t="e">
        <f>AND(ChiSq!B14,"AAAAAG7bq2Y=")</f>
        <v>#VALUE!</v>
      </c>
      <c r="CZ7" t="e">
        <f>AND(ChiSq!C14,"AAAAAG7bq2c=")</f>
        <v>#VALUE!</v>
      </c>
      <c r="DA7" t="e">
        <f>AND(ChiSq!D14,"AAAAAG7bq2g=")</f>
        <v>#VALUE!</v>
      </c>
      <c r="DB7" t="e">
        <f>AND(ChiSq!E14,"AAAAAG7bq2k=")</f>
        <v>#VALUE!</v>
      </c>
      <c r="DC7" t="e">
        <f>AND(ChiSq!F14,"AAAAAG7bq2o=")</f>
        <v>#VALUE!</v>
      </c>
      <c r="DD7" t="e">
        <f>AND(ChiSq!G14,"AAAAAG7bq2s=")</f>
        <v>#VALUE!</v>
      </c>
      <c r="DE7" t="e">
        <f>AND(ChiSq!H14,"AAAAAG7bq2w=")</f>
        <v>#VALUE!</v>
      </c>
      <c r="DF7" t="e">
        <f>AND(ChiSq!I14,"AAAAAG7bq20=")</f>
        <v>#VALUE!</v>
      </c>
      <c r="DG7" t="e">
        <f>AND(ChiSq!J14,"AAAAAG7bq24=")</f>
        <v>#VALUE!</v>
      </c>
      <c r="DH7" t="e">
        <f>AND(ChiSq!K14,"AAAAAG7bq28=")</f>
        <v>#VALUE!</v>
      </c>
      <c r="DI7" t="e">
        <f>AND(ChiSq!L14,"AAAAAG7bq3A=")</f>
        <v>#VALUE!</v>
      </c>
      <c r="DJ7" t="e">
        <f>AND(ChiSq!M14,"AAAAAG7bq3E=")</f>
        <v>#VALUE!</v>
      </c>
      <c r="DK7">
        <f>IF(ChiSq!15:15,"AAAAAG7bq3I=",0)</f>
        <v>0</v>
      </c>
      <c r="DL7" t="e">
        <f>AND(ChiSq!B15,"AAAAAG7bq3M=")</f>
        <v>#VALUE!</v>
      </c>
      <c r="DM7" t="e">
        <f>AND(ChiSq!C15,"AAAAAG7bq3Q=")</f>
        <v>#VALUE!</v>
      </c>
      <c r="DN7" t="e">
        <f>AND(ChiSq!D15,"AAAAAG7bq3U=")</f>
        <v>#VALUE!</v>
      </c>
      <c r="DO7" t="e">
        <f>AND(ChiSq!E15,"AAAAAG7bq3Y=")</f>
        <v>#VALUE!</v>
      </c>
      <c r="DP7" t="e">
        <f>AND(ChiSq!F15,"AAAAAG7bq3c=")</f>
        <v>#VALUE!</v>
      </c>
      <c r="DQ7" t="e">
        <f>AND(ChiSq!G15,"AAAAAG7bq3g=")</f>
        <v>#VALUE!</v>
      </c>
      <c r="DR7" t="e">
        <f>AND(ChiSq!H15,"AAAAAG7bq3k=")</f>
        <v>#VALUE!</v>
      </c>
      <c r="DS7" t="e">
        <f>AND(ChiSq!I15,"AAAAAG7bq3o=")</f>
        <v>#VALUE!</v>
      </c>
      <c r="DT7" t="e">
        <f>AND(ChiSq!J15,"AAAAAG7bq3s=")</f>
        <v>#VALUE!</v>
      </c>
      <c r="DU7" t="e">
        <f>AND(ChiSq!K15,"AAAAAG7bq3w=")</f>
        <v>#VALUE!</v>
      </c>
      <c r="DV7" t="e">
        <f>AND(ChiSq!L15,"AAAAAG7bq30=")</f>
        <v>#VALUE!</v>
      </c>
      <c r="DW7" t="e">
        <f>AND(ChiSq!M15,"AAAAAG7bq34=")</f>
        <v>#VALUE!</v>
      </c>
      <c r="DX7">
        <f>IF(ChiSq!16:16,"AAAAAG7bq38=",0)</f>
        <v>0</v>
      </c>
      <c r="DY7" t="e">
        <f>AND(ChiSq!B16,"AAAAAG7bq4A=")</f>
        <v>#VALUE!</v>
      </c>
      <c r="DZ7" t="e">
        <f>AND(ChiSq!C16,"AAAAAG7bq4E=")</f>
        <v>#VALUE!</v>
      </c>
      <c r="EA7" t="e">
        <f>AND(ChiSq!D16,"AAAAAG7bq4I=")</f>
        <v>#VALUE!</v>
      </c>
      <c r="EB7" t="e">
        <f>AND(ChiSq!E16,"AAAAAG7bq4M=")</f>
        <v>#VALUE!</v>
      </c>
      <c r="EC7" t="e">
        <f>AND(ChiSq!F16,"AAAAAG7bq4Q=")</f>
        <v>#VALUE!</v>
      </c>
      <c r="ED7" t="e">
        <f>AND(ChiSq!G16,"AAAAAG7bq4U=")</f>
        <v>#VALUE!</v>
      </c>
      <c r="EE7" t="e">
        <f>AND(ChiSq!H16,"AAAAAG7bq4Y=")</f>
        <v>#VALUE!</v>
      </c>
      <c r="EF7" t="e">
        <f>AND(ChiSq!I16,"AAAAAG7bq4c=")</f>
        <v>#VALUE!</v>
      </c>
      <c r="EG7" t="e">
        <f>AND(ChiSq!J16,"AAAAAG7bq4g=")</f>
        <v>#VALUE!</v>
      </c>
      <c r="EH7" t="e">
        <f>AND(ChiSq!K16,"AAAAAG7bq4k=")</f>
        <v>#VALUE!</v>
      </c>
      <c r="EI7" t="e">
        <f>AND(ChiSq!L16,"AAAAAG7bq4o=")</f>
        <v>#VALUE!</v>
      </c>
      <c r="EJ7" t="e">
        <f>AND(ChiSq!M16,"AAAAAG7bq4s=")</f>
        <v>#VALUE!</v>
      </c>
      <c r="EK7">
        <f>IF(ChiSq!17:17,"AAAAAG7bq4w=",0)</f>
        <v>0</v>
      </c>
      <c r="EL7" t="e">
        <f>AND(ChiSq!B17,"AAAAAG7bq40=")</f>
        <v>#VALUE!</v>
      </c>
      <c r="EM7" t="e">
        <f>AND(ChiSq!C17,"AAAAAG7bq44=")</f>
        <v>#VALUE!</v>
      </c>
      <c r="EN7" t="e">
        <f>AND(ChiSq!D17,"AAAAAG7bq48=")</f>
        <v>#VALUE!</v>
      </c>
      <c r="EO7" t="e">
        <f>AND(ChiSq!E17,"AAAAAG7bq5A=")</f>
        <v>#VALUE!</v>
      </c>
      <c r="EP7" t="e">
        <f>AND(ChiSq!F17,"AAAAAG7bq5E=")</f>
        <v>#VALUE!</v>
      </c>
      <c r="EQ7" t="e">
        <f>AND(ChiSq!G17,"AAAAAG7bq5I=")</f>
        <v>#VALUE!</v>
      </c>
      <c r="ER7" t="e">
        <f>AND(ChiSq!H17,"AAAAAG7bq5M=")</f>
        <v>#VALUE!</v>
      </c>
      <c r="ES7" t="e">
        <f>AND(ChiSq!I17,"AAAAAG7bq5Q=")</f>
        <v>#VALUE!</v>
      </c>
      <c r="ET7" t="e">
        <f>AND(ChiSq!J17,"AAAAAG7bq5U=")</f>
        <v>#VALUE!</v>
      </c>
      <c r="EU7" t="e">
        <f>AND(ChiSq!K17,"AAAAAG7bq5Y=")</f>
        <v>#VALUE!</v>
      </c>
      <c r="EV7" t="e">
        <f>AND(ChiSq!L17,"AAAAAG7bq5c=")</f>
        <v>#VALUE!</v>
      </c>
      <c r="EW7" t="e">
        <f>AND(ChiSq!M17,"AAAAAG7bq5g=")</f>
        <v>#VALUE!</v>
      </c>
      <c r="EX7">
        <f>IF(ChiSq!18:18,"AAAAAG7bq5k=",0)</f>
        <v>0</v>
      </c>
      <c r="EY7" t="e">
        <f>AND(ChiSq!B18,"AAAAAG7bq5o=")</f>
        <v>#VALUE!</v>
      </c>
      <c r="EZ7" t="e">
        <f>AND(ChiSq!C18,"AAAAAG7bq5s=")</f>
        <v>#VALUE!</v>
      </c>
      <c r="FA7" t="e">
        <f>AND(ChiSq!D18,"AAAAAG7bq5w=")</f>
        <v>#VALUE!</v>
      </c>
      <c r="FB7" t="e">
        <f>AND(ChiSq!E18,"AAAAAG7bq50=")</f>
        <v>#VALUE!</v>
      </c>
      <c r="FC7" t="e">
        <f>AND(ChiSq!F18,"AAAAAG7bq54=")</f>
        <v>#VALUE!</v>
      </c>
      <c r="FD7" t="e">
        <f>AND(ChiSq!G18,"AAAAAG7bq58=")</f>
        <v>#VALUE!</v>
      </c>
      <c r="FE7" t="e">
        <f>AND(ChiSq!H18,"AAAAAG7bq6A=")</f>
        <v>#VALUE!</v>
      </c>
      <c r="FF7" t="e">
        <f>AND(ChiSq!I18,"AAAAAG7bq6E=")</f>
        <v>#VALUE!</v>
      </c>
      <c r="FG7" t="e">
        <f>AND(ChiSq!J18,"AAAAAG7bq6I=")</f>
        <v>#VALUE!</v>
      </c>
      <c r="FH7" t="e">
        <f>AND(ChiSq!K18,"AAAAAG7bq6M=")</f>
        <v>#VALUE!</v>
      </c>
      <c r="FI7" t="e">
        <f>AND(ChiSq!L18,"AAAAAG7bq6Q=")</f>
        <v>#VALUE!</v>
      </c>
      <c r="FJ7" t="e">
        <f>AND(ChiSq!M18,"AAAAAG7bq6U=")</f>
        <v>#VALUE!</v>
      </c>
      <c r="FK7">
        <f>IF(ChiSq!19:19,"AAAAAG7bq6Y=",0)</f>
        <v>0</v>
      </c>
      <c r="FL7" t="e">
        <f>AND(ChiSq!B19,"AAAAAG7bq6c=")</f>
        <v>#VALUE!</v>
      </c>
      <c r="FM7" t="e">
        <f>AND(ChiSq!C19,"AAAAAG7bq6g=")</f>
        <v>#VALUE!</v>
      </c>
      <c r="FN7" t="e">
        <f>AND(ChiSq!D19,"AAAAAG7bq6k=")</f>
        <v>#VALUE!</v>
      </c>
      <c r="FO7" t="e">
        <f>AND(ChiSq!E19,"AAAAAG7bq6o=")</f>
        <v>#VALUE!</v>
      </c>
      <c r="FP7" t="e">
        <f>AND(ChiSq!F19,"AAAAAG7bq6s=")</f>
        <v>#VALUE!</v>
      </c>
      <c r="FQ7" t="e">
        <f>AND(ChiSq!G19,"AAAAAG7bq6w=")</f>
        <v>#VALUE!</v>
      </c>
      <c r="FR7" t="e">
        <f>AND(ChiSq!H19,"AAAAAG7bq60=")</f>
        <v>#VALUE!</v>
      </c>
      <c r="FS7" t="e">
        <f>AND(ChiSq!I19,"AAAAAG7bq64=")</f>
        <v>#VALUE!</v>
      </c>
      <c r="FT7" t="e">
        <f>AND(ChiSq!J19,"AAAAAG7bq68=")</f>
        <v>#VALUE!</v>
      </c>
      <c r="FU7" t="e">
        <f>AND(ChiSq!K19,"AAAAAG7bq7A=")</f>
        <v>#VALUE!</v>
      </c>
      <c r="FV7" t="e">
        <f>AND(ChiSq!L19,"AAAAAG7bq7E=")</f>
        <v>#VALUE!</v>
      </c>
      <c r="FW7" t="e">
        <f>AND(ChiSq!M19,"AAAAAG7bq7I=")</f>
        <v>#VALUE!</v>
      </c>
      <c r="FX7">
        <f>IF(ChiSq!20:20,"AAAAAG7bq7M=",0)</f>
        <v>0</v>
      </c>
      <c r="FY7">
        <f>IF(ChiSq!21:21,"AAAAAG7bq7Q=",0)</f>
        <v>0</v>
      </c>
      <c r="FZ7">
        <f>IF(ChiSq!22:22,"AAAAAG7bq7U=",0)</f>
        <v>0</v>
      </c>
      <c r="GA7">
        <f>IF(ChiSq!23:23,"AAAAAG7bq7Y=",0)</f>
        <v>0</v>
      </c>
      <c r="GB7">
        <f>IF(ChiSq!24:24,"AAAAAG7bq7c=",0)</f>
        <v>0</v>
      </c>
      <c r="GC7">
        <f>IF(ChiSq!25:25,"AAAAAG7bq7g=",0)</f>
        <v>0</v>
      </c>
      <c r="GD7">
        <f>IF(ChiSq!26:26,"AAAAAG7bq7k=",0)</f>
        <v>0</v>
      </c>
      <c r="GE7">
        <f>IF(ChiSq!27:27,"AAAAAG7bq7o=",0)</f>
        <v>0</v>
      </c>
      <c r="GF7">
        <f>IF(ChiSq!28:28,"AAAAAG7bq7s=",0)</f>
        <v>0</v>
      </c>
      <c r="GG7">
        <f>IF(ChiSq!A:A,"AAAAAG7bq7w=",0)</f>
        <v>0</v>
      </c>
      <c r="GH7">
        <f>IF(ChiSq!B:B,"AAAAAG7bq70=",0)</f>
        <v>0</v>
      </c>
      <c r="GI7" t="e">
        <f>IF(ChiSq!C:C,"AAAAAG7bq74=",0)</f>
        <v>#VALUE!</v>
      </c>
      <c r="GJ7" t="e">
        <f>IF(ChiSq!D:D,"AAAAAG7bq78=",0)</f>
        <v>#VALUE!</v>
      </c>
      <c r="GK7" t="str">
        <f>IF(ChiSq!E:E,"AAAAAG7bq8A=",0)</f>
        <v>AAAAAG7bq8A=</v>
      </c>
      <c r="GL7">
        <f>IF(ChiSq!F:F,"AAAAAG7bq8E=",0)</f>
        <v>0</v>
      </c>
      <c r="GM7" t="e">
        <f>IF(ChiSq!G:G,"AAAAAG7bq8I=",0)</f>
        <v>#VALUE!</v>
      </c>
      <c r="GN7">
        <f>IF(ChiSq!H:H,"AAAAAG7bq8M=",0)</f>
        <v>0</v>
      </c>
      <c r="GO7">
        <f>IF(ChiSq!I:I,"AAAAAG7bq8Q=",0)</f>
        <v>0</v>
      </c>
      <c r="GP7">
        <f>IF(ChiSq!J:J,"AAAAAG7bq8U=",0)</f>
        <v>0</v>
      </c>
      <c r="GQ7">
        <f>IF(ChiSq!K:K,"AAAAAG7bq8Y=",0)</f>
        <v>0</v>
      </c>
      <c r="GR7">
        <f>IF(ChiSq!L:L,"AAAAAG7bq8c=",0)</f>
        <v>0</v>
      </c>
      <c r="GS7">
        <f>IF(ChiSq!M:M,"AAAAAG7bq8g=",0)</f>
        <v>0</v>
      </c>
      <c r="GT7" t="e">
        <f>AND(Binomial!F1,"AAAAAG7bq8k=")</f>
        <v>#VALUE!</v>
      </c>
      <c r="GU7" t="e">
        <f>AND(Binomial!F2,"AAAAAG7bq8o=")</f>
        <v>#VALUE!</v>
      </c>
      <c r="GV7" t="e">
        <f>AND(Binomial!F3,"AAAAAG7bq8s=")</f>
        <v>#VALUE!</v>
      </c>
      <c r="GW7" t="e">
        <f>AND(Binomial!F4,"AAAAAG7bq8w=")</f>
        <v>#VALUE!</v>
      </c>
      <c r="GX7" t="e">
        <f>AND(Binomial!F5,"AAAAAG7bq80=")</f>
        <v>#VALUE!</v>
      </c>
      <c r="GY7" t="e">
        <f>AND(Binomial!F6,"AAAAAG7bq84=")</f>
        <v>#VALUE!</v>
      </c>
      <c r="GZ7" t="e">
        <f>AND(Binomial!F7,"AAAAAG7bq88=")</f>
        <v>#VALUE!</v>
      </c>
      <c r="HA7" t="e">
        <f>AND(Binomial!F8,"AAAAAG7bq9A=")</f>
        <v>#VALUE!</v>
      </c>
      <c r="HB7" t="e">
        <f>AND(Binomial!F9,"AAAAAG7bq9E=")</f>
        <v>#VALUE!</v>
      </c>
      <c r="HC7" t="e">
        <f>AND(Binomial!F10,"AAAAAG7bq9I=")</f>
        <v>#VALUE!</v>
      </c>
      <c r="HD7" t="e">
        <f>AND(Binomial!F11,"AAAAAG7bq9M=")</f>
        <v>#VALUE!</v>
      </c>
      <c r="HE7" t="e">
        <f>IF(Binomial!F:F,"AAAAAG7bq9Q=",0)</f>
        <v>#VALUE!</v>
      </c>
    </row>
    <row r="8" spans="1:231" ht="15.75">
      <c r="A8">
        <f>IF('Ind r'!1:1,"AAAAAF99dAA=",0)</f>
        <v>0</v>
      </c>
      <c r="B8" t="e">
        <f>AND('Ind r'!B1,"AAAAAF99dAE=")</f>
        <v>#VALUE!</v>
      </c>
      <c r="C8" t="e">
        <f>AND('Ind r'!C1,"AAAAAF99dAI=")</f>
        <v>#VALUE!</v>
      </c>
      <c r="D8" t="e">
        <f>AND('Ind r'!D1,"AAAAAF99dAM=")</f>
        <v>#VALUE!</v>
      </c>
      <c r="E8" t="e">
        <f>AND('Ind r'!E1,"AAAAAF99dAQ=")</f>
        <v>#VALUE!</v>
      </c>
      <c r="F8" t="e">
        <f>AND('Ind r'!F1,"AAAAAF99dAU=")</f>
        <v>#VALUE!</v>
      </c>
      <c r="G8" t="e">
        <f>AND('Ind r'!G1,"AAAAAF99dAY=")</f>
        <v>#VALUE!</v>
      </c>
      <c r="H8" t="e">
        <f>AND('Ind r'!H1,"AAAAAF99dAc=")</f>
        <v>#VALUE!</v>
      </c>
      <c r="I8" t="e">
        <f>AND('Ind r'!I1,"AAAAAF99dAg=")</f>
        <v>#VALUE!</v>
      </c>
      <c r="J8" t="e">
        <f>AND('Ind r'!J1,"AAAAAF99dAk=")</f>
        <v>#VALUE!</v>
      </c>
      <c r="K8">
        <f>IF('Ind r'!2:2,"AAAAAF99dAo=",0)</f>
        <v>0</v>
      </c>
      <c r="L8" t="e">
        <f>AND('Ind r'!B2,"AAAAAF99dAs=")</f>
        <v>#VALUE!</v>
      </c>
      <c r="M8" t="e">
        <f>AND('Ind r'!C2,"AAAAAF99dAw=")</f>
        <v>#VALUE!</v>
      </c>
      <c r="N8" t="e">
        <f>AND('Ind r'!D2,"AAAAAF99dA0=")</f>
        <v>#VALUE!</v>
      </c>
      <c r="O8" t="e">
        <f>AND('Ind r'!E2,"AAAAAF99dA4=")</f>
        <v>#VALUE!</v>
      </c>
      <c r="P8" t="e">
        <f>AND('Ind r'!F2,"AAAAAF99dA8=")</f>
        <v>#VALUE!</v>
      </c>
      <c r="Q8" t="e">
        <f>AND('Ind r'!G2,"AAAAAF99dBA=")</f>
        <v>#VALUE!</v>
      </c>
      <c r="R8" t="e">
        <f>AND('Ind r'!H2,"AAAAAF99dBE=")</f>
        <v>#VALUE!</v>
      </c>
      <c r="S8" t="e">
        <f>AND('Ind r'!I2,"AAAAAF99dBI=")</f>
        <v>#VALUE!</v>
      </c>
      <c r="T8" t="e">
        <f>AND('Ind r'!J2,"AAAAAF99dBM=")</f>
        <v>#VALUE!</v>
      </c>
      <c r="U8">
        <f>IF('Ind r'!3:3,"AAAAAF99dBQ=",0)</f>
        <v>0</v>
      </c>
      <c r="V8" t="e">
        <f>AND('Ind r'!B3,"AAAAAF99dBU=")</f>
        <v>#VALUE!</v>
      </c>
      <c r="W8" t="e">
        <f>AND('Ind r'!C3,"AAAAAF99dBY=")</f>
        <v>#VALUE!</v>
      </c>
      <c r="X8" t="e">
        <f>AND('Ind r'!D3,"AAAAAF99dBc=")</f>
        <v>#VALUE!</v>
      </c>
      <c r="Y8" t="e">
        <f>AND('Ind r'!E3,"AAAAAF99dBg=")</f>
        <v>#VALUE!</v>
      </c>
      <c r="Z8" t="e">
        <f>AND('Ind r'!F3,"AAAAAF99dBk=")</f>
        <v>#VALUE!</v>
      </c>
      <c r="AA8" t="e">
        <f>AND('Ind r'!G3,"AAAAAF99dBo=")</f>
        <v>#VALUE!</v>
      </c>
      <c r="AB8" t="e">
        <f>AND('Ind r'!H3,"AAAAAF99dBs=")</f>
        <v>#VALUE!</v>
      </c>
      <c r="AC8" t="e">
        <f>AND('Ind r'!I3,"AAAAAF99dBw=")</f>
        <v>#VALUE!</v>
      </c>
      <c r="AD8" t="e">
        <f>AND('Ind r'!J3,"AAAAAF99dB0=")</f>
        <v>#VALUE!</v>
      </c>
      <c r="AE8">
        <f>IF('Ind r'!4:4,"AAAAAF99dB4=",0)</f>
        <v>0</v>
      </c>
      <c r="AF8" t="e">
        <f>AND('Ind r'!B4,"AAAAAF99dB8=")</f>
        <v>#VALUE!</v>
      </c>
      <c r="AG8" t="e">
        <f>AND('Ind r'!C4,"AAAAAF99dCA=")</f>
        <v>#VALUE!</v>
      </c>
      <c r="AH8" t="e">
        <f>AND('Ind r'!D4,"AAAAAF99dCE=")</f>
        <v>#VALUE!</v>
      </c>
      <c r="AI8" t="e">
        <f>AND('Ind r'!E4,"AAAAAF99dCI=")</f>
        <v>#VALUE!</v>
      </c>
      <c r="AJ8" t="e">
        <f>AND('Ind r'!F4,"AAAAAF99dCM=")</f>
        <v>#VALUE!</v>
      </c>
      <c r="AK8" t="e">
        <f>AND('Ind r'!G4,"AAAAAF99dCQ=")</f>
        <v>#VALUE!</v>
      </c>
      <c r="AL8" t="e">
        <f>AND('Ind r'!H4,"AAAAAF99dCU=")</f>
        <v>#VALUE!</v>
      </c>
      <c r="AM8" t="e">
        <f>AND('Ind r'!I4,"AAAAAF99dCY=")</f>
        <v>#VALUE!</v>
      </c>
      <c r="AN8" t="e">
        <f>AND('Ind r'!J4,"AAAAAF99dCc=")</f>
        <v>#VALUE!</v>
      </c>
      <c r="AO8">
        <f>IF('Ind r'!5:5,"AAAAAF99dCg=",0)</f>
        <v>0</v>
      </c>
      <c r="AP8" t="e">
        <f>AND('Ind r'!B5,"AAAAAF99dCk=")</f>
        <v>#VALUE!</v>
      </c>
      <c r="AQ8" t="e">
        <f>AND('Ind r'!C5,"AAAAAF99dCo=")</f>
        <v>#VALUE!</v>
      </c>
      <c r="AR8" t="e">
        <f>AND('Ind r'!D5,"AAAAAF99dCs=")</f>
        <v>#VALUE!</v>
      </c>
      <c r="AS8" t="e">
        <f>AND('Ind r'!E5,"AAAAAF99dCw=")</f>
        <v>#VALUE!</v>
      </c>
      <c r="AT8" t="e">
        <f>AND('Ind r'!F5,"AAAAAF99dC0=")</f>
        <v>#VALUE!</v>
      </c>
      <c r="AU8" t="e">
        <f>AND('Ind r'!G5,"AAAAAF99dC4=")</f>
        <v>#VALUE!</v>
      </c>
      <c r="AV8" t="e">
        <f>AND('Ind r'!H5,"AAAAAF99dC8=")</f>
        <v>#VALUE!</v>
      </c>
      <c r="AW8" t="e">
        <f>AND('Ind r'!I5,"AAAAAF99dDA=")</f>
        <v>#VALUE!</v>
      </c>
      <c r="AX8" t="e">
        <f>AND('Ind r'!J5,"AAAAAF99dDE=")</f>
        <v>#VALUE!</v>
      </c>
      <c r="AY8">
        <f>IF('Ind r'!6:6,"AAAAAF99dDI=",0)</f>
        <v>0</v>
      </c>
      <c r="AZ8" t="e">
        <f>AND('Ind r'!B6,"AAAAAF99dDM=")</f>
        <v>#VALUE!</v>
      </c>
      <c r="BA8" t="e">
        <f>AND('Ind r'!C6,"AAAAAF99dDQ=")</f>
        <v>#VALUE!</v>
      </c>
      <c r="BB8" t="e">
        <f>AND('Ind r'!D6,"AAAAAF99dDU=")</f>
        <v>#VALUE!</v>
      </c>
      <c r="BC8" t="e">
        <f>AND('Ind r'!E6,"AAAAAF99dDY=")</f>
        <v>#VALUE!</v>
      </c>
      <c r="BD8" t="e">
        <f>AND('Ind r'!F6,"AAAAAF99dDc=")</f>
        <v>#VALUE!</v>
      </c>
      <c r="BE8" t="e">
        <f>AND('Ind r'!G6,"AAAAAF99dDg=")</f>
        <v>#VALUE!</v>
      </c>
      <c r="BF8" t="e">
        <f>AND('Ind r'!H6,"AAAAAF99dDk=")</f>
        <v>#VALUE!</v>
      </c>
      <c r="BG8" t="e">
        <f>AND('Ind r'!I6,"AAAAAF99dDo=")</f>
        <v>#VALUE!</v>
      </c>
      <c r="BH8" t="e">
        <f>AND('Ind r'!J6,"AAAAAF99dDs=")</f>
        <v>#VALUE!</v>
      </c>
      <c r="BI8">
        <f>IF('Ind r'!7:7,"AAAAAF99dDw=",0)</f>
        <v>0</v>
      </c>
      <c r="BJ8" t="e">
        <f>AND('Ind r'!B7,"AAAAAF99dD0=")</f>
        <v>#VALUE!</v>
      </c>
      <c r="BK8" t="e">
        <f>AND('Ind r'!C7,"AAAAAF99dD4=")</f>
        <v>#VALUE!</v>
      </c>
      <c r="BL8" t="e">
        <f>AND('Ind r'!D7,"AAAAAF99dD8=")</f>
        <v>#VALUE!</v>
      </c>
      <c r="BM8" t="e">
        <f>AND('Ind r'!E7,"AAAAAF99dEA=")</f>
        <v>#VALUE!</v>
      </c>
      <c r="BN8" t="e">
        <f>AND('Ind r'!F7,"AAAAAF99dEE=")</f>
        <v>#VALUE!</v>
      </c>
      <c r="BO8" t="e">
        <f>AND('Ind r'!G7,"AAAAAF99dEI=")</f>
        <v>#VALUE!</v>
      </c>
      <c r="BP8" t="e">
        <f>AND('Ind r'!H7,"AAAAAF99dEM=")</f>
        <v>#VALUE!</v>
      </c>
      <c r="BQ8" t="e">
        <f>AND('Ind r'!I7,"AAAAAF99dEQ=")</f>
        <v>#VALUE!</v>
      </c>
      <c r="BR8" t="e">
        <f>AND('Ind r'!J7,"AAAAAF99dEU=")</f>
        <v>#VALUE!</v>
      </c>
      <c r="BS8">
        <f>IF('Ind r'!8:8,"AAAAAF99dEY=",0)</f>
        <v>0</v>
      </c>
      <c r="BT8" t="e">
        <f>AND('Ind r'!B8,"AAAAAF99dEc=")</f>
        <v>#VALUE!</v>
      </c>
      <c r="BU8" t="e">
        <f>AND('Ind r'!C8,"AAAAAF99dEg=")</f>
        <v>#VALUE!</v>
      </c>
      <c r="BV8" t="e">
        <f>AND('Ind r'!D8,"AAAAAF99dEk=")</f>
        <v>#VALUE!</v>
      </c>
      <c r="BW8" t="e">
        <f>AND('Ind r'!E8,"AAAAAF99dEo=")</f>
        <v>#VALUE!</v>
      </c>
      <c r="BX8" t="e">
        <f>AND('Ind r'!F8,"AAAAAF99dEs=")</f>
        <v>#VALUE!</v>
      </c>
      <c r="BY8" t="e">
        <f>AND('Ind r'!G8,"AAAAAF99dEw=")</f>
        <v>#VALUE!</v>
      </c>
      <c r="BZ8" t="e">
        <f>AND('Ind r'!H8,"AAAAAF99dE0=")</f>
        <v>#VALUE!</v>
      </c>
      <c r="CA8" t="e">
        <f>AND('Ind r'!I8,"AAAAAF99dE4=")</f>
        <v>#VALUE!</v>
      </c>
      <c r="CB8" t="e">
        <f>AND('Ind r'!J8,"AAAAAF99dE8=")</f>
        <v>#VALUE!</v>
      </c>
      <c r="CC8">
        <f>IF('Ind r'!9:9,"AAAAAF99dFA=",0)</f>
        <v>0</v>
      </c>
      <c r="CD8" t="e">
        <f>AND('Ind r'!B9,"AAAAAF99dFE=")</f>
        <v>#VALUE!</v>
      </c>
      <c r="CE8" t="e">
        <f>AND('Ind r'!C9,"AAAAAF99dFI=")</f>
        <v>#VALUE!</v>
      </c>
      <c r="CF8" t="e">
        <f>AND('Ind r'!D9,"AAAAAF99dFM=")</f>
        <v>#VALUE!</v>
      </c>
      <c r="CG8" t="e">
        <f>AND('Ind r'!E9,"AAAAAF99dFQ=")</f>
        <v>#VALUE!</v>
      </c>
      <c r="CH8" t="e">
        <f>AND('Ind r'!F9,"AAAAAF99dFU=")</f>
        <v>#VALUE!</v>
      </c>
      <c r="CI8" t="e">
        <f>AND('Ind r'!G9,"AAAAAF99dFY=")</f>
        <v>#VALUE!</v>
      </c>
      <c r="CJ8" t="e">
        <f>AND('Ind r'!H9,"AAAAAF99dFc=")</f>
        <v>#VALUE!</v>
      </c>
      <c r="CK8" t="e">
        <f>AND('Ind r'!I9,"AAAAAF99dFg=")</f>
        <v>#VALUE!</v>
      </c>
      <c r="CL8" t="e">
        <f>AND('Ind r'!J9,"AAAAAF99dFk=")</f>
        <v>#VALUE!</v>
      </c>
      <c r="CM8">
        <f>IF('Ind r'!10:10,"AAAAAF99dFo=",0)</f>
        <v>0</v>
      </c>
      <c r="CN8" t="e">
        <f>AND('Ind r'!B10,"AAAAAF99dFs=")</f>
        <v>#VALUE!</v>
      </c>
      <c r="CO8" t="e">
        <f>AND('Ind r'!C10,"AAAAAF99dFw=")</f>
        <v>#VALUE!</v>
      </c>
      <c r="CP8" t="e">
        <f>AND('Ind r'!D10,"AAAAAF99dF0=")</f>
        <v>#VALUE!</v>
      </c>
      <c r="CQ8" t="e">
        <f>AND('Ind r'!E10,"AAAAAF99dF4=")</f>
        <v>#VALUE!</v>
      </c>
      <c r="CR8" t="e">
        <f>AND('Ind r'!F10,"AAAAAF99dF8=")</f>
        <v>#VALUE!</v>
      </c>
      <c r="CS8" t="e">
        <f>AND('Ind r'!G10,"AAAAAF99dGA=")</f>
        <v>#VALUE!</v>
      </c>
      <c r="CT8" t="e">
        <f>AND('Ind r'!H10,"AAAAAF99dGE=")</f>
        <v>#VALUE!</v>
      </c>
      <c r="CU8" t="e">
        <f>AND('Ind r'!I10,"AAAAAF99dGI=")</f>
        <v>#VALUE!</v>
      </c>
      <c r="CV8" t="e">
        <f>AND('Ind r'!J10,"AAAAAF99dGM=")</f>
        <v>#VALUE!</v>
      </c>
      <c r="CW8">
        <f>IF('Ind r'!11:11,"AAAAAF99dGQ=",0)</f>
        <v>0</v>
      </c>
      <c r="CX8" t="e">
        <f>AND('Ind r'!B11,"AAAAAF99dGU=")</f>
        <v>#VALUE!</v>
      </c>
      <c r="CY8" t="e">
        <f>AND('Ind r'!C11,"AAAAAF99dGY=")</f>
        <v>#VALUE!</v>
      </c>
      <c r="CZ8" t="e">
        <f>AND('Ind r'!D11,"AAAAAF99dGc=")</f>
        <v>#VALUE!</v>
      </c>
      <c r="DA8" t="e">
        <f>AND('Ind r'!E11,"AAAAAF99dGg=")</f>
        <v>#VALUE!</v>
      </c>
      <c r="DB8" t="e">
        <f>AND('Ind r'!F11,"AAAAAF99dGk=")</f>
        <v>#VALUE!</v>
      </c>
      <c r="DC8" t="e">
        <f>AND('Ind r'!G11,"AAAAAF99dGo=")</f>
        <v>#VALUE!</v>
      </c>
      <c r="DD8" t="e">
        <f>AND('Ind r'!H11,"AAAAAF99dGs=")</f>
        <v>#VALUE!</v>
      </c>
      <c r="DE8" t="e">
        <f>AND('Ind r'!I11,"AAAAAF99dGw=")</f>
        <v>#VALUE!</v>
      </c>
      <c r="DF8" t="e">
        <f>AND('Ind r'!J11,"AAAAAF99dG0=")</f>
        <v>#VALUE!</v>
      </c>
      <c r="DG8">
        <f>IF('Ind r'!12:12,"AAAAAF99dG4=",0)</f>
        <v>0</v>
      </c>
      <c r="DH8" t="e">
        <f>AND('Ind r'!B12,"AAAAAF99dG8=")</f>
        <v>#VALUE!</v>
      </c>
      <c r="DI8" t="e">
        <f>AND('Ind r'!C12,"AAAAAF99dHA=")</f>
        <v>#VALUE!</v>
      </c>
      <c r="DJ8" t="e">
        <f>AND('Ind r'!D12,"AAAAAF99dHE=")</f>
        <v>#VALUE!</v>
      </c>
      <c r="DK8" t="e">
        <f>AND('Ind r'!E12,"AAAAAF99dHI=")</f>
        <v>#VALUE!</v>
      </c>
      <c r="DL8" t="e">
        <f>AND('Ind r'!F12,"AAAAAF99dHM=")</f>
        <v>#VALUE!</v>
      </c>
      <c r="DM8" t="e">
        <f>AND('Ind r'!G12,"AAAAAF99dHQ=")</f>
        <v>#VALUE!</v>
      </c>
      <c r="DN8" t="e">
        <f>AND('Ind r'!H12,"AAAAAF99dHU=")</f>
        <v>#VALUE!</v>
      </c>
      <c r="DO8" t="e">
        <f>AND('Ind r'!I12,"AAAAAF99dHY=")</f>
        <v>#VALUE!</v>
      </c>
      <c r="DP8" t="e">
        <f>AND('Ind r'!J12,"AAAAAF99dHc=")</f>
        <v>#VALUE!</v>
      </c>
      <c r="DQ8">
        <f>IF('Ind r'!13:13,"AAAAAF99dHg=",0)</f>
        <v>0</v>
      </c>
      <c r="DR8" t="e">
        <f>AND('Ind r'!B13,"AAAAAF99dHk=")</f>
        <v>#VALUE!</v>
      </c>
      <c r="DS8" t="e">
        <f>AND('Ind r'!C13,"AAAAAF99dHo=")</f>
        <v>#VALUE!</v>
      </c>
      <c r="DT8" t="e">
        <f>AND('Ind r'!D13,"AAAAAF99dHs=")</f>
        <v>#VALUE!</v>
      </c>
      <c r="DU8" t="e">
        <f>AND('Ind r'!E13,"AAAAAF99dHw=")</f>
        <v>#VALUE!</v>
      </c>
      <c r="DV8" t="e">
        <f>AND('Ind r'!F13,"AAAAAF99dH0=")</f>
        <v>#VALUE!</v>
      </c>
      <c r="DW8" t="e">
        <f>AND('Ind r'!G13,"AAAAAF99dH4=")</f>
        <v>#VALUE!</v>
      </c>
      <c r="DX8" t="e">
        <f>AND('Ind r'!H13,"AAAAAF99dH8=")</f>
        <v>#VALUE!</v>
      </c>
      <c r="DY8" t="e">
        <f>AND('Ind r'!I13,"AAAAAF99dIA=")</f>
        <v>#VALUE!</v>
      </c>
      <c r="DZ8" t="e">
        <f>AND('Ind r'!J13,"AAAAAF99dIE=")</f>
        <v>#VALUE!</v>
      </c>
      <c r="EA8">
        <f>IF('Ind r'!14:14,"AAAAAF99dII=",0)</f>
        <v>0</v>
      </c>
      <c r="EB8" t="e">
        <f>AND('Ind r'!B14,"AAAAAF99dIM=")</f>
        <v>#VALUE!</v>
      </c>
      <c r="EC8" t="e">
        <f>AND('Ind r'!C14,"AAAAAF99dIQ=")</f>
        <v>#VALUE!</v>
      </c>
      <c r="ED8" t="e">
        <f>AND('Ind r'!D14,"AAAAAF99dIU=")</f>
        <v>#VALUE!</v>
      </c>
      <c r="EE8" t="e">
        <f>AND('Ind r'!E14,"AAAAAF99dIY=")</f>
        <v>#VALUE!</v>
      </c>
      <c r="EF8" t="e">
        <f>AND('Ind r'!F14,"AAAAAF99dIc=")</f>
        <v>#VALUE!</v>
      </c>
      <c r="EG8" t="e">
        <f>AND('Ind r'!G14,"AAAAAF99dIg=")</f>
        <v>#VALUE!</v>
      </c>
      <c r="EH8" t="e">
        <f>AND('Ind r'!H14,"AAAAAF99dIk=")</f>
        <v>#VALUE!</v>
      </c>
      <c r="EI8" t="e">
        <f>AND('Ind r'!I14,"AAAAAF99dIo=")</f>
        <v>#VALUE!</v>
      </c>
      <c r="EJ8" t="e">
        <f>AND('Ind r'!J14,"AAAAAF99dIs=")</f>
        <v>#VALUE!</v>
      </c>
      <c r="EK8">
        <f>IF('Ind r'!15:15,"AAAAAF99dIw=",0)</f>
        <v>0</v>
      </c>
      <c r="EL8" t="e">
        <f>AND('Ind r'!B15,"AAAAAF99dI0=")</f>
        <v>#VALUE!</v>
      </c>
      <c r="EM8" t="e">
        <f>AND('Ind r'!C15,"AAAAAF99dI4=")</f>
        <v>#VALUE!</v>
      </c>
      <c r="EN8" t="e">
        <f>AND('Ind r'!D15,"AAAAAF99dI8=")</f>
        <v>#VALUE!</v>
      </c>
      <c r="EO8" t="e">
        <f>AND('Ind r'!E15,"AAAAAF99dJA=")</f>
        <v>#VALUE!</v>
      </c>
      <c r="EP8" t="e">
        <f>AND('Ind r'!F15,"AAAAAF99dJE=")</f>
        <v>#VALUE!</v>
      </c>
      <c r="EQ8" t="e">
        <f>AND('Ind r'!G15,"AAAAAF99dJI=")</f>
        <v>#VALUE!</v>
      </c>
      <c r="ER8" t="e">
        <f>AND('Ind r'!H15,"AAAAAF99dJM=")</f>
        <v>#VALUE!</v>
      </c>
      <c r="ES8" t="e">
        <f>AND('Ind r'!I15,"AAAAAF99dJQ=")</f>
        <v>#VALUE!</v>
      </c>
      <c r="ET8" t="e">
        <f>AND('Ind r'!J15,"AAAAAF99dJU=")</f>
        <v>#VALUE!</v>
      </c>
      <c r="EU8">
        <f>IF('Ind r'!16:16,"AAAAAF99dJY=",0)</f>
        <v>0</v>
      </c>
      <c r="EV8" t="e">
        <f>AND('Ind r'!B16,"AAAAAF99dJc=")</f>
        <v>#VALUE!</v>
      </c>
      <c r="EW8" t="e">
        <f>AND('Ind r'!C16,"AAAAAF99dJg=")</f>
        <v>#VALUE!</v>
      </c>
      <c r="EX8" t="e">
        <f>AND('Ind r'!D16,"AAAAAF99dJk=")</f>
        <v>#VALUE!</v>
      </c>
      <c r="EY8" t="e">
        <f>AND('Ind r'!E16,"AAAAAF99dJo=")</f>
        <v>#VALUE!</v>
      </c>
      <c r="EZ8" t="e">
        <f>AND('Ind r'!F16,"AAAAAF99dJs=")</f>
        <v>#VALUE!</v>
      </c>
      <c r="FA8" t="e">
        <f>AND('Ind r'!G16,"AAAAAF99dJw=")</f>
        <v>#VALUE!</v>
      </c>
      <c r="FB8" t="e">
        <f>AND('Ind r'!H16,"AAAAAF99dJ0=")</f>
        <v>#VALUE!</v>
      </c>
      <c r="FC8" t="e">
        <f>AND('Ind r'!I16,"AAAAAF99dJ4=")</f>
        <v>#VALUE!</v>
      </c>
      <c r="FD8" t="e">
        <f>AND('Ind r'!J16,"AAAAAF99dJ8=")</f>
        <v>#VALUE!</v>
      </c>
      <c r="FE8">
        <f>IF('Ind r'!17:17,"AAAAAF99dKA=",0)</f>
        <v>0</v>
      </c>
      <c r="FF8" t="e">
        <f>AND('Ind r'!B17,"AAAAAF99dKE=")</f>
        <v>#VALUE!</v>
      </c>
      <c r="FG8" t="e">
        <f>AND('Ind r'!C17,"AAAAAF99dKI=")</f>
        <v>#VALUE!</v>
      </c>
      <c r="FH8" t="e">
        <f>AND('Ind r'!D17,"AAAAAF99dKM=")</f>
        <v>#VALUE!</v>
      </c>
      <c r="FI8" t="e">
        <f>AND('Ind r'!E17,"AAAAAF99dKQ=")</f>
        <v>#VALUE!</v>
      </c>
      <c r="FJ8" t="e">
        <f>AND('Ind r'!F17,"AAAAAF99dKU=")</f>
        <v>#VALUE!</v>
      </c>
      <c r="FK8" t="e">
        <f>AND('Ind r'!G17,"AAAAAF99dKY=")</f>
        <v>#VALUE!</v>
      </c>
      <c r="FL8" t="e">
        <f>AND('Ind r'!H17,"AAAAAF99dKc=")</f>
        <v>#VALUE!</v>
      </c>
      <c r="FM8" t="e">
        <f>AND('Ind r'!I17,"AAAAAF99dKg=")</f>
        <v>#VALUE!</v>
      </c>
      <c r="FN8" t="e">
        <f>AND('Ind r'!J17,"AAAAAF99dKk=")</f>
        <v>#VALUE!</v>
      </c>
      <c r="FO8">
        <f>IF('Ind r'!18:18,"AAAAAF99dKo=",0)</f>
        <v>0</v>
      </c>
      <c r="FP8" t="e">
        <f>AND('Ind r'!B18,"AAAAAF99dKs=")</f>
        <v>#VALUE!</v>
      </c>
      <c r="FQ8" t="e">
        <f>AND('Ind r'!C18,"AAAAAF99dKw=")</f>
        <v>#VALUE!</v>
      </c>
      <c r="FR8" t="e">
        <f>AND('Ind r'!D18,"AAAAAF99dK0=")</f>
        <v>#VALUE!</v>
      </c>
      <c r="FS8" t="e">
        <f>AND('Ind r'!E18,"AAAAAF99dK4=")</f>
        <v>#VALUE!</v>
      </c>
      <c r="FT8" t="e">
        <f>AND('Ind r'!F18,"AAAAAF99dK8=")</f>
        <v>#VALUE!</v>
      </c>
      <c r="FU8" t="e">
        <f>AND('Ind r'!G18,"AAAAAF99dLA=")</f>
        <v>#VALUE!</v>
      </c>
      <c r="FV8" t="e">
        <f>AND('Ind r'!H18,"AAAAAF99dLE=")</f>
        <v>#VALUE!</v>
      </c>
      <c r="FW8" t="e">
        <f>AND('Ind r'!I18,"AAAAAF99dLI=")</f>
        <v>#VALUE!</v>
      </c>
      <c r="FX8" t="e">
        <f>AND('Ind r'!J18,"AAAAAF99dLM=")</f>
        <v>#VALUE!</v>
      </c>
      <c r="FY8">
        <f>IF('Ind r'!19:19,"AAAAAF99dLQ=",0)</f>
        <v>0</v>
      </c>
      <c r="FZ8" t="e">
        <f>AND('Ind r'!B19,"AAAAAF99dLU=")</f>
        <v>#VALUE!</v>
      </c>
      <c r="GA8" t="e">
        <f>AND('Ind r'!C19,"AAAAAF99dLY=")</f>
        <v>#VALUE!</v>
      </c>
      <c r="GB8" t="e">
        <f>AND('Ind r'!D19,"AAAAAF99dLc=")</f>
        <v>#VALUE!</v>
      </c>
      <c r="GC8" t="e">
        <f>AND('Ind r'!E19,"AAAAAF99dLg=")</f>
        <v>#VALUE!</v>
      </c>
      <c r="GD8" t="e">
        <f>AND('Ind r'!F19,"AAAAAF99dLk=")</f>
        <v>#VALUE!</v>
      </c>
      <c r="GE8" t="e">
        <f>AND('Ind r'!G19,"AAAAAF99dLo=")</f>
        <v>#VALUE!</v>
      </c>
      <c r="GF8" t="e">
        <f>AND('Ind r'!H19,"AAAAAF99dLs=")</f>
        <v>#VALUE!</v>
      </c>
      <c r="GG8" t="e">
        <f>AND('Ind r'!I19,"AAAAAF99dLw=")</f>
        <v>#VALUE!</v>
      </c>
      <c r="GH8" t="e">
        <f>AND('Ind r'!J19,"AAAAAF99dL0=")</f>
        <v>#VALUE!</v>
      </c>
      <c r="GI8">
        <f>IF('Ind r'!20:20,"AAAAAF99dL4=",0)</f>
        <v>0</v>
      </c>
      <c r="GJ8" t="e">
        <f>AND('Ind r'!B20,"AAAAAF99dL8=")</f>
        <v>#VALUE!</v>
      </c>
      <c r="GK8" t="e">
        <f>AND('Ind r'!C20,"AAAAAF99dMA=")</f>
        <v>#VALUE!</v>
      </c>
      <c r="GL8" t="e">
        <f>AND('Ind r'!D20,"AAAAAF99dME=")</f>
        <v>#VALUE!</v>
      </c>
      <c r="GM8" t="e">
        <f>AND('Ind r'!E20,"AAAAAF99dMI=")</f>
        <v>#VALUE!</v>
      </c>
      <c r="GN8" t="e">
        <f>AND('Ind r'!F20,"AAAAAF99dMM=")</f>
        <v>#VALUE!</v>
      </c>
      <c r="GO8" t="e">
        <f>AND('Ind r'!G20,"AAAAAF99dMQ=")</f>
        <v>#VALUE!</v>
      </c>
      <c r="GP8" t="e">
        <f>AND('Ind r'!H20,"AAAAAF99dMU=")</f>
        <v>#VALUE!</v>
      </c>
      <c r="GQ8" t="e">
        <f>AND('Ind r'!I20,"AAAAAF99dMY=")</f>
        <v>#VALUE!</v>
      </c>
      <c r="GR8" t="e">
        <f>AND('Ind r'!J20,"AAAAAF99dMc=")</f>
        <v>#VALUE!</v>
      </c>
      <c r="GS8">
        <f>IF('Ind r'!21:21,"AAAAAF99dMg=",0)</f>
        <v>0</v>
      </c>
      <c r="GT8" t="e">
        <f>AND('Ind r'!B21,"AAAAAF99dMk=")</f>
        <v>#VALUE!</v>
      </c>
      <c r="GU8" t="e">
        <f>AND('Ind r'!C21,"AAAAAF99dMo=")</f>
        <v>#VALUE!</v>
      </c>
      <c r="GV8" t="e">
        <f>AND('Ind r'!D21,"AAAAAF99dMs=")</f>
        <v>#VALUE!</v>
      </c>
      <c r="GW8" t="e">
        <f>AND('Ind r'!E21,"AAAAAF99dMw=")</f>
        <v>#VALUE!</v>
      </c>
      <c r="GX8" t="e">
        <f>AND('Ind r'!F21,"AAAAAF99dM0=")</f>
        <v>#VALUE!</v>
      </c>
      <c r="GY8" t="e">
        <f>AND('Ind r'!G21,"AAAAAF99dM4=")</f>
        <v>#VALUE!</v>
      </c>
      <c r="GZ8" t="e">
        <f>AND('Ind r'!H21,"AAAAAF99dM8=")</f>
        <v>#VALUE!</v>
      </c>
      <c r="HA8" t="e">
        <f>AND('Ind r'!I21,"AAAAAF99dNA=")</f>
        <v>#VALUE!</v>
      </c>
      <c r="HB8" t="e">
        <f>AND('Ind r'!J21,"AAAAAF99dNE=")</f>
        <v>#VALUE!</v>
      </c>
      <c r="HC8">
        <f>IF('Ind r'!22:22,"AAAAAF99dNI=",0)</f>
        <v>0</v>
      </c>
      <c r="HD8" t="e">
        <f>AND('Ind r'!B22,"AAAAAF99dNM=")</f>
        <v>#VALUE!</v>
      </c>
      <c r="HE8" t="e">
        <f>AND('Ind r'!C22,"AAAAAF99dNQ=")</f>
        <v>#VALUE!</v>
      </c>
      <c r="HF8" t="e">
        <f>AND('Ind r'!D22,"AAAAAF99dNU=")</f>
        <v>#VALUE!</v>
      </c>
      <c r="HG8" t="e">
        <f>AND('Ind r'!E22,"AAAAAF99dNY=")</f>
        <v>#VALUE!</v>
      </c>
      <c r="HH8" t="e">
        <f>AND('Ind r'!F22,"AAAAAF99dNc=")</f>
        <v>#VALUE!</v>
      </c>
      <c r="HI8" t="e">
        <f>AND('Ind r'!G22,"AAAAAF99dNg=")</f>
        <v>#VALUE!</v>
      </c>
      <c r="HJ8" t="e">
        <f>AND('Ind r'!H22,"AAAAAF99dNk=")</f>
        <v>#VALUE!</v>
      </c>
      <c r="HK8" t="e">
        <f>AND('Ind r'!I22,"AAAAAF99dNo=")</f>
        <v>#VALUE!</v>
      </c>
      <c r="HL8" t="e">
        <f>AND('Ind r'!J22,"AAAAAF99dNs=")</f>
        <v>#VALUE!</v>
      </c>
      <c r="HM8">
        <f>IF('Ind r'!23:23,"AAAAAF99dNw=",0)</f>
        <v>0</v>
      </c>
      <c r="HN8">
        <f>IF('Ind r'!A:A,"AAAAAF99dN0=",0)</f>
        <v>0</v>
      </c>
      <c r="HO8" t="e">
        <f>IF('Ind r'!B:B,"AAAAAF99dN4=",0)</f>
        <v>#VALUE!</v>
      </c>
      <c r="HP8">
        <f>IF('Ind r'!C:C,"AAAAAF99dN8=",0)</f>
        <v>0</v>
      </c>
      <c r="HQ8">
        <f>IF('Ind r'!D:D,"AAAAAF99dOA=",0)</f>
        <v>0</v>
      </c>
      <c r="HR8" t="str">
        <f>IF('Ind r'!E:E,"AAAAAF99dOE=",0)</f>
        <v>AAAAAF99dOE=</v>
      </c>
      <c r="HS8">
        <f>IF('Ind r'!F:F,"AAAAAF99dOI=",0)</f>
        <v>0</v>
      </c>
      <c r="HT8" t="e">
        <f>IF('Ind r'!G:G,"AAAAAF99dOM=",0)</f>
        <v>#VALUE!</v>
      </c>
      <c r="HU8" t="str">
        <f>IF('Ind r'!H:H,"AAAAAF99dOQ=",0)</f>
        <v>AAAAAF99dOQ=</v>
      </c>
      <c r="HV8">
        <f>IF('Ind r'!I:I,"AAAAAF99dOU=",0)</f>
        <v>0</v>
      </c>
      <c r="HW8">
        <f>IF('Ind r'!J:J,"AAAAAF99dOY=",0)</f>
        <v>0</v>
      </c>
    </row>
    <row r="9" spans="1:256" ht="15.75">
      <c r="A9">
        <f>IF('Dep r'!1:1,"AAAAAF/v/wA=",0)</f>
        <v>0</v>
      </c>
      <c r="B9" t="e">
        <f>AND('Dep r'!A1,"AAAAAF/v/wE=")</f>
        <v>#VALUE!</v>
      </c>
      <c r="C9" t="e">
        <f>AND('Dep r'!B1,"AAAAAF/v/wI=")</f>
        <v>#VALUE!</v>
      </c>
      <c r="D9" t="e">
        <f>AND('Dep r'!C1,"AAAAAF/v/wM=")</f>
        <v>#VALUE!</v>
      </c>
      <c r="E9" t="e">
        <f>AND('Dep r'!D1,"AAAAAF/v/wQ=")</f>
        <v>#VALUE!</v>
      </c>
      <c r="F9" t="e">
        <f>AND('Dep r'!E1,"AAAAAF/v/wU=")</f>
        <v>#VALUE!</v>
      </c>
      <c r="G9" t="e">
        <f>AND('Dep r'!F1,"AAAAAF/v/wY=")</f>
        <v>#VALUE!</v>
      </c>
      <c r="H9" t="e">
        <f>AND('Dep r'!G1,"AAAAAF/v/wc=")</f>
        <v>#VALUE!</v>
      </c>
      <c r="I9" t="e">
        <f>AND('Dep r'!H1,"AAAAAF/v/wg=")</f>
        <v>#VALUE!</v>
      </c>
      <c r="J9" t="e">
        <f>AND('Dep r'!I1,"AAAAAF/v/wk=")</f>
        <v>#VALUE!</v>
      </c>
      <c r="K9" t="e">
        <f>AND('Dep r'!J1,"AAAAAF/v/wo=")</f>
        <v>#VALUE!</v>
      </c>
      <c r="L9" t="e">
        <f>AND('Dep r'!K1,"AAAAAF/v/ws=")</f>
        <v>#VALUE!</v>
      </c>
      <c r="M9" t="e">
        <f>AND('Dep r'!L1,"AAAAAF/v/ww=")</f>
        <v>#VALUE!</v>
      </c>
      <c r="N9" t="e">
        <f>AND('Dep r'!M1,"AAAAAF/v/w0=")</f>
        <v>#VALUE!</v>
      </c>
      <c r="O9">
        <f>IF('Dep r'!2:2,"AAAAAF/v/w4=",0)</f>
        <v>0</v>
      </c>
      <c r="P9" t="e">
        <f>AND('Dep r'!A2,"AAAAAF/v/w8=")</f>
        <v>#VALUE!</v>
      </c>
      <c r="Q9" t="e">
        <f>AND('Dep r'!B2,"AAAAAF/v/xA=")</f>
        <v>#VALUE!</v>
      </c>
      <c r="R9" t="e">
        <f>AND('Dep r'!C2,"AAAAAF/v/xE=")</f>
        <v>#VALUE!</v>
      </c>
      <c r="S9" t="e">
        <f>AND('Dep r'!D2,"AAAAAF/v/xI=")</f>
        <v>#VALUE!</v>
      </c>
      <c r="T9" t="e">
        <f>AND('Dep r'!E2,"AAAAAF/v/xM=")</f>
        <v>#VALUE!</v>
      </c>
      <c r="U9" t="e">
        <f>AND('Dep r'!F2,"AAAAAF/v/xQ=")</f>
        <v>#VALUE!</v>
      </c>
      <c r="V9" t="e">
        <f>AND('Dep r'!G2,"AAAAAF/v/xU=")</f>
        <v>#VALUE!</v>
      </c>
      <c r="W9" t="e">
        <f>AND('Dep r'!H2,"AAAAAF/v/xY=")</f>
        <v>#VALUE!</v>
      </c>
      <c r="X9" t="e">
        <f>AND('Dep r'!I2,"AAAAAF/v/xc=")</f>
        <v>#VALUE!</v>
      </c>
      <c r="Y9" t="e">
        <f>AND('Dep r'!J2,"AAAAAF/v/xg=")</f>
        <v>#VALUE!</v>
      </c>
      <c r="Z9" t="e">
        <f>AND('Dep r'!K2,"AAAAAF/v/xk=")</f>
        <v>#VALUE!</v>
      </c>
      <c r="AA9" t="e">
        <f>AND('Dep r'!L2,"AAAAAF/v/xo=")</f>
        <v>#VALUE!</v>
      </c>
      <c r="AB9" t="e">
        <f>AND('Dep r'!M2,"AAAAAF/v/xs=")</f>
        <v>#VALUE!</v>
      </c>
      <c r="AC9">
        <f>IF('Dep r'!3:3,"AAAAAF/v/xw=",0)</f>
        <v>0</v>
      </c>
      <c r="AD9" t="e">
        <f>AND('Dep r'!A3,"AAAAAF/v/x0=")</f>
        <v>#VALUE!</v>
      </c>
      <c r="AE9" t="e">
        <f>AND('Dep r'!B3,"AAAAAF/v/x4=")</f>
        <v>#VALUE!</v>
      </c>
      <c r="AF9" t="e">
        <f>AND('Dep r'!C3,"AAAAAF/v/x8=")</f>
        <v>#VALUE!</v>
      </c>
      <c r="AG9" t="e">
        <f>AND('Dep r'!D3,"AAAAAF/v/yA=")</f>
        <v>#VALUE!</v>
      </c>
      <c r="AH9" t="e">
        <f>AND('Dep r'!E3,"AAAAAF/v/yE=")</f>
        <v>#VALUE!</v>
      </c>
      <c r="AI9" t="e">
        <f>AND('Dep r'!F3,"AAAAAF/v/yI=")</f>
        <v>#VALUE!</v>
      </c>
      <c r="AJ9" t="e">
        <f>AND('Dep r'!G3,"AAAAAF/v/yM=")</f>
        <v>#VALUE!</v>
      </c>
      <c r="AK9" t="e">
        <f>AND('Dep r'!H3,"AAAAAF/v/yQ=")</f>
        <v>#VALUE!</v>
      </c>
      <c r="AL9" t="e">
        <f>AND('Dep r'!I3,"AAAAAF/v/yU=")</f>
        <v>#VALUE!</v>
      </c>
      <c r="AM9" t="e">
        <f>AND('Dep r'!J3,"AAAAAF/v/yY=")</f>
        <v>#VALUE!</v>
      </c>
      <c r="AN9" t="e">
        <f>AND('Dep r'!K3,"AAAAAF/v/yc=")</f>
        <v>#VALUE!</v>
      </c>
      <c r="AO9" t="e">
        <f>AND('Dep r'!L3,"AAAAAF/v/yg=")</f>
        <v>#VALUE!</v>
      </c>
      <c r="AP9" t="e">
        <f>AND('Dep r'!M3,"AAAAAF/v/yk=")</f>
        <v>#VALUE!</v>
      </c>
      <c r="AQ9">
        <f>IF('Dep r'!4:4,"AAAAAF/v/yo=",0)</f>
        <v>0</v>
      </c>
      <c r="AR9" t="e">
        <f>AND('Dep r'!A4,"AAAAAF/v/ys=")</f>
        <v>#VALUE!</v>
      </c>
      <c r="AS9" t="e">
        <f>AND('Dep r'!B4,"AAAAAF/v/yw=")</f>
        <v>#VALUE!</v>
      </c>
      <c r="AT9" t="e">
        <f>AND('Dep r'!C4,"AAAAAF/v/y0=")</f>
        <v>#VALUE!</v>
      </c>
      <c r="AU9" t="e">
        <f>AND('Dep r'!D4,"AAAAAF/v/y4=")</f>
        <v>#VALUE!</v>
      </c>
      <c r="AV9" t="e">
        <f>AND('Dep r'!E4,"AAAAAF/v/y8=")</f>
        <v>#VALUE!</v>
      </c>
      <c r="AW9" t="e">
        <f>AND('Dep r'!F4,"AAAAAF/v/zA=")</f>
        <v>#VALUE!</v>
      </c>
      <c r="AX9" t="e">
        <f>AND('Dep r'!G4,"AAAAAF/v/zE=")</f>
        <v>#VALUE!</v>
      </c>
      <c r="AY9" t="e">
        <f>AND('Dep r'!H4,"AAAAAF/v/zI=")</f>
        <v>#VALUE!</v>
      </c>
      <c r="AZ9" t="e">
        <f>AND('Dep r'!I4,"AAAAAF/v/zM=")</f>
        <v>#VALUE!</v>
      </c>
      <c r="BA9" t="e">
        <f>AND('Dep r'!J4,"AAAAAF/v/zQ=")</f>
        <v>#VALUE!</v>
      </c>
      <c r="BB9" t="e">
        <f>AND('Dep r'!K4,"AAAAAF/v/zU=")</f>
        <v>#VALUE!</v>
      </c>
      <c r="BC9" t="e">
        <f>AND('Dep r'!L4,"AAAAAF/v/zY=")</f>
        <v>#VALUE!</v>
      </c>
      <c r="BD9" t="e">
        <f>AND('Dep r'!M4,"AAAAAF/v/zc=")</f>
        <v>#VALUE!</v>
      </c>
      <c r="BE9">
        <f>IF('Dep r'!5:5,"AAAAAF/v/zg=",0)</f>
        <v>0</v>
      </c>
      <c r="BF9" t="e">
        <f>AND('Dep r'!A5,"AAAAAF/v/zk=")</f>
        <v>#VALUE!</v>
      </c>
      <c r="BG9" t="e">
        <f>AND('Dep r'!B5,"AAAAAF/v/zo=")</f>
        <v>#VALUE!</v>
      </c>
      <c r="BH9" t="e">
        <f>AND('Dep r'!C5,"AAAAAF/v/zs=")</f>
        <v>#VALUE!</v>
      </c>
      <c r="BI9" t="e">
        <f>AND('Dep r'!D5,"AAAAAF/v/zw=")</f>
        <v>#VALUE!</v>
      </c>
      <c r="BJ9" t="e">
        <f>AND('Dep r'!E5,"AAAAAF/v/z0=")</f>
        <v>#VALUE!</v>
      </c>
      <c r="BK9" t="e">
        <f>AND('Dep r'!F5,"AAAAAF/v/z4=")</f>
        <v>#VALUE!</v>
      </c>
      <c r="BL9" t="e">
        <f>AND('Dep r'!G5,"AAAAAF/v/z8=")</f>
        <v>#VALUE!</v>
      </c>
      <c r="BM9" t="e">
        <f>AND('Dep r'!H5,"AAAAAF/v/0A=")</f>
        <v>#VALUE!</v>
      </c>
      <c r="BN9" t="e">
        <f>AND('Dep r'!I5,"AAAAAF/v/0E=")</f>
        <v>#VALUE!</v>
      </c>
      <c r="BO9" t="e">
        <f>AND('Dep r'!J5,"AAAAAF/v/0I=")</f>
        <v>#VALUE!</v>
      </c>
      <c r="BP9" t="e">
        <f>AND('Dep r'!K5,"AAAAAF/v/0M=")</f>
        <v>#VALUE!</v>
      </c>
      <c r="BQ9" t="e">
        <f>AND('Dep r'!L5,"AAAAAF/v/0Q=")</f>
        <v>#VALUE!</v>
      </c>
      <c r="BR9" t="e">
        <f>AND('Dep r'!M5,"AAAAAF/v/0U=")</f>
        <v>#VALUE!</v>
      </c>
      <c r="BS9">
        <f>IF('Dep r'!6:6,"AAAAAF/v/0Y=",0)</f>
        <v>0</v>
      </c>
      <c r="BT9" t="e">
        <f>AND('Dep r'!A6,"AAAAAF/v/0c=")</f>
        <v>#VALUE!</v>
      </c>
      <c r="BU9" t="e">
        <f>AND('Dep r'!B6,"AAAAAF/v/0g=")</f>
        <v>#VALUE!</v>
      </c>
      <c r="BV9" t="e">
        <f>AND('Dep r'!C6,"AAAAAF/v/0k=")</f>
        <v>#VALUE!</v>
      </c>
      <c r="BW9" t="e">
        <f>AND('Dep r'!D6,"AAAAAF/v/0o=")</f>
        <v>#VALUE!</v>
      </c>
      <c r="BX9" t="e">
        <f>AND('Dep r'!E6,"AAAAAF/v/0s=")</f>
        <v>#VALUE!</v>
      </c>
      <c r="BY9" t="e">
        <f>AND('Dep r'!F6,"AAAAAF/v/0w=")</f>
        <v>#VALUE!</v>
      </c>
      <c r="BZ9" t="e">
        <f>AND('Dep r'!G6,"AAAAAF/v/00=")</f>
        <v>#VALUE!</v>
      </c>
      <c r="CA9" t="e">
        <f>AND('Dep r'!H6,"AAAAAF/v/04=")</f>
        <v>#VALUE!</v>
      </c>
      <c r="CB9" t="e">
        <f>AND('Dep r'!I6,"AAAAAF/v/08=")</f>
        <v>#VALUE!</v>
      </c>
      <c r="CC9" t="e">
        <f>AND('Dep r'!J6,"AAAAAF/v/1A=")</f>
        <v>#VALUE!</v>
      </c>
      <c r="CD9" t="e">
        <f>AND('Dep r'!K6,"AAAAAF/v/1E=")</f>
        <v>#VALUE!</v>
      </c>
      <c r="CE9" t="e">
        <f>AND('Dep r'!L6,"AAAAAF/v/1I=")</f>
        <v>#VALUE!</v>
      </c>
      <c r="CF9" t="e">
        <f>AND('Dep r'!M6,"AAAAAF/v/1M=")</f>
        <v>#VALUE!</v>
      </c>
      <c r="CG9">
        <f>IF('Dep r'!7:7,"AAAAAF/v/1Q=",0)</f>
        <v>0</v>
      </c>
      <c r="CH9" t="e">
        <f>AND('Dep r'!A7,"AAAAAF/v/1U=")</f>
        <v>#VALUE!</v>
      </c>
      <c r="CI9" t="e">
        <f>AND('Dep r'!B7,"AAAAAF/v/1Y=")</f>
        <v>#VALUE!</v>
      </c>
      <c r="CJ9" t="e">
        <f>AND('Dep r'!C7,"AAAAAF/v/1c=")</f>
        <v>#VALUE!</v>
      </c>
      <c r="CK9" t="e">
        <f>AND('Dep r'!D7,"AAAAAF/v/1g=")</f>
        <v>#VALUE!</v>
      </c>
      <c r="CL9" t="e">
        <f>AND('Dep r'!E7,"AAAAAF/v/1k=")</f>
        <v>#VALUE!</v>
      </c>
      <c r="CM9" t="e">
        <f>AND('Dep r'!F7,"AAAAAF/v/1o=")</f>
        <v>#VALUE!</v>
      </c>
      <c r="CN9" t="e">
        <f>AND('Dep r'!G7,"AAAAAF/v/1s=")</f>
        <v>#VALUE!</v>
      </c>
      <c r="CO9" t="e">
        <f>AND('Dep r'!H7,"AAAAAF/v/1w=")</f>
        <v>#VALUE!</v>
      </c>
      <c r="CP9" t="e">
        <f>AND('Dep r'!I7,"AAAAAF/v/10=")</f>
        <v>#VALUE!</v>
      </c>
      <c r="CQ9" t="e">
        <f>AND('Dep r'!J7,"AAAAAF/v/14=")</f>
        <v>#VALUE!</v>
      </c>
      <c r="CR9" t="e">
        <f>AND('Dep r'!K7,"AAAAAF/v/18=")</f>
        <v>#VALUE!</v>
      </c>
      <c r="CS9" t="e">
        <f>AND('Dep r'!L7,"AAAAAF/v/2A=")</f>
        <v>#VALUE!</v>
      </c>
      <c r="CT9" t="e">
        <f>AND('Dep r'!M7,"AAAAAF/v/2E=")</f>
        <v>#VALUE!</v>
      </c>
      <c r="CU9">
        <f>IF('Dep r'!8:8,"AAAAAF/v/2I=",0)</f>
        <v>0</v>
      </c>
      <c r="CV9" t="e">
        <f>AND('Dep r'!A8,"AAAAAF/v/2M=")</f>
        <v>#VALUE!</v>
      </c>
      <c r="CW9" t="e">
        <f>AND('Dep r'!B8,"AAAAAF/v/2Q=")</f>
        <v>#VALUE!</v>
      </c>
      <c r="CX9" t="e">
        <f>AND('Dep r'!C8,"AAAAAF/v/2U=")</f>
        <v>#VALUE!</v>
      </c>
      <c r="CY9" t="e">
        <f>AND('Dep r'!D8,"AAAAAF/v/2Y=")</f>
        <v>#VALUE!</v>
      </c>
      <c r="CZ9" t="e">
        <f>AND('Dep r'!E8,"AAAAAF/v/2c=")</f>
        <v>#VALUE!</v>
      </c>
      <c r="DA9" t="e">
        <f>AND('Dep r'!F8,"AAAAAF/v/2g=")</f>
        <v>#VALUE!</v>
      </c>
      <c r="DB9" t="e">
        <f>AND('Dep r'!G8,"AAAAAF/v/2k=")</f>
        <v>#VALUE!</v>
      </c>
      <c r="DC9" t="e">
        <f>AND('Dep r'!H8,"AAAAAF/v/2o=")</f>
        <v>#VALUE!</v>
      </c>
      <c r="DD9" t="e">
        <f>AND('Dep r'!I8,"AAAAAF/v/2s=")</f>
        <v>#VALUE!</v>
      </c>
      <c r="DE9" t="e">
        <f>AND('Dep r'!J8,"AAAAAF/v/2w=")</f>
        <v>#VALUE!</v>
      </c>
      <c r="DF9" t="e">
        <f>AND('Dep r'!K8,"AAAAAF/v/20=")</f>
        <v>#VALUE!</v>
      </c>
      <c r="DG9" t="e">
        <f>AND('Dep r'!L8,"AAAAAF/v/24=")</f>
        <v>#VALUE!</v>
      </c>
      <c r="DH9" t="e">
        <f>AND('Dep r'!M8,"AAAAAF/v/28=")</f>
        <v>#VALUE!</v>
      </c>
      <c r="DI9">
        <f>IF('Dep r'!9:9,"AAAAAF/v/3A=",0)</f>
        <v>0</v>
      </c>
      <c r="DJ9" t="e">
        <f>AND('Dep r'!A9,"AAAAAF/v/3E=")</f>
        <v>#VALUE!</v>
      </c>
      <c r="DK9" t="e">
        <f>AND('Dep r'!B9,"AAAAAF/v/3I=")</f>
        <v>#VALUE!</v>
      </c>
      <c r="DL9" t="e">
        <f>AND('Dep r'!C9,"AAAAAF/v/3M=")</f>
        <v>#VALUE!</v>
      </c>
      <c r="DM9" t="e">
        <f>AND('Dep r'!D9,"AAAAAF/v/3Q=")</f>
        <v>#VALUE!</v>
      </c>
      <c r="DN9" t="e">
        <f>AND('Dep r'!E9,"AAAAAF/v/3U=")</f>
        <v>#VALUE!</v>
      </c>
      <c r="DO9" t="e">
        <f>AND('Dep r'!F9,"AAAAAF/v/3Y=")</f>
        <v>#VALUE!</v>
      </c>
      <c r="DP9" t="e">
        <f>AND('Dep r'!G9,"AAAAAF/v/3c=")</f>
        <v>#VALUE!</v>
      </c>
      <c r="DQ9" t="e">
        <f>AND('Dep r'!H9,"AAAAAF/v/3g=")</f>
        <v>#VALUE!</v>
      </c>
      <c r="DR9" t="e">
        <f>AND('Dep r'!I9,"AAAAAF/v/3k=")</f>
        <v>#VALUE!</v>
      </c>
      <c r="DS9" t="e">
        <f>AND('Dep r'!J9,"AAAAAF/v/3o=")</f>
        <v>#VALUE!</v>
      </c>
      <c r="DT9" t="e">
        <f>AND('Dep r'!K9,"AAAAAF/v/3s=")</f>
        <v>#VALUE!</v>
      </c>
      <c r="DU9" t="e">
        <f>AND('Dep r'!L9,"AAAAAF/v/3w=")</f>
        <v>#VALUE!</v>
      </c>
      <c r="DV9" t="e">
        <f>AND('Dep r'!M9,"AAAAAF/v/30=")</f>
        <v>#VALUE!</v>
      </c>
      <c r="DW9">
        <f>IF('Dep r'!10:10,"AAAAAF/v/34=",0)</f>
        <v>0</v>
      </c>
      <c r="DX9" t="e">
        <f>AND('Dep r'!A10,"AAAAAF/v/38=")</f>
        <v>#VALUE!</v>
      </c>
      <c r="DY9" t="e">
        <f>AND('Dep r'!B10,"AAAAAF/v/4A=")</f>
        <v>#VALUE!</v>
      </c>
      <c r="DZ9" t="e">
        <f>AND('Dep r'!C10,"AAAAAF/v/4E=")</f>
        <v>#VALUE!</v>
      </c>
      <c r="EA9" t="e">
        <f>AND('Dep r'!D10,"AAAAAF/v/4I=")</f>
        <v>#VALUE!</v>
      </c>
      <c r="EB9" t="e">
        <f>AND('Dep r'!E10,"AAAAAF/v/4M=")</f>
        <v>#VALUE!</v>
      </c>
      <c r="EC9" t="e">
        <f>AND('Dep r'!F10,"AAAAAF/v/4Q=")</f>
        <v>#VALUE!</v>
      </c>
      <c r="ED9" t="e">
        <f>AND('Dep r'!G10,"AAAAAF/v/4U=")</f>
        <v>#VALUE!</v>
      </c>
      <c r="EE9" t="e">
        <f>AND('Dep r'!H10,"AAAAAF/v/4Y=")</f>
        <v>#VALUE!</v>
      </c>
      <c r="EF9" t="e">
        <f>AND('Dep r'!I10,"AAAAAF/v/4c=")</f>
        <v>#VALUE!</v>
      </c>
      <c r="EG9" t="e">
        <f>AND('Dep r'!J10,"AAAAAF/v/4g=")</f>
        <v>#VALUE!</v>
      </c>
      <c r="EH9" t="e">
        <f>AND('Dep r'!K10,"AAAAAF/v/4k=")</f>
        <v>#VALUE!</v>
      </c>
      <c r="EI9" t="e">
        <f>AND('Dep r'!L10,"AAAAAF/v/4o=")</f>
        <v>#VALUE!</v>
      </c>
      <c r="EJ9" t="e">
        <f>AND('Dep r'!M10,"AAAAAF/v/4s=")</f>
        <v>#VALUE!</v>
      </c>
      <c r="EK9">
        <f>IF('Dep r'!11:11,"AAAAAF/v/4w=",0)</f>
        <v>0</v>
      </c>
      <c r="EL9" t="e">
        <f>AND('Dep r'!A11,"AAAAAF/v/40=")</f>
        <v>#VALUE!</v>
      </c>
      <c r="EM9" t="e">
        <f>AND('Dep r'!B11,"AAAAAF/v/44=")</f>
        <v>#VALUE!</v>
      </c>
      <c r="EN9" t="e">
        <f>AND('Dep r'!C11,"AAAAAF/v/48=")</f>
        <v>#VALUE!</v>
      </c>
      <c r="EO9" t="e">
        <f>AND('Dep r'!D11,"AAAAAF/v/5A=")</f>
        <v>#VALUE!</v>
      </c>
      <c r="EP9" t="e">
        <f>AND('Dep r'!E11,"AAAAAF/v/5E=")</f>
        <v>#VALUE!</v>
      </c>
      <c r="EQ9" t="e">
        <f>AND('Dep r'!F11,"AAAAAF/v/5I=")</f>
        <v>#VALUE!</v>
      </c>
      <c r="ER9" t="e">
        <f>AND('Dep r'!G11,"AAAAAF/v/5M=")</f>
        <v>#VALUE!</v>
      </c>
      <c r="ES9" t="e">
        <f>AND('Dep r'!H11,"AAAAAF/v/5Q=")</f>
        <v>#VALUE!</v>
      </c>
      <c r="ET9" t="e">
        <f>AND('Dep r'!I11,"AAAAAF/v/5U=")</f>
        <v>#VALUE!</v>
      </c>
      <c r="EU9" t="e">
        <f>AND('Dep r'!J11,"AAAAAF/v/5Y=")</f>
        <v>#VALUE!</v>
      </c>
      <c r="EV9" t="e">
        <f>AND('Dep r'!K11,"AAAAAF/v/5c=")</f>
        <v>#VALUE!</v>
      </c>
      <c r="EW9" t="e">
        <f>AND('Dep r'!L11,"AAAAAF/v/5g=")</f>
        <v>#VALUE!</v>
      </c>
      <c r="EX9" t="e">
        <f>AND('Dep r'!M11,"AAAAAF/v/5k=")</f>
        <v>#VALUE!</v>
      </c>
      <c r="EY9">
        <f>IF('Dep r'!12:12,"AAAAAF/v/5o=",0)</f>
        <v>0</v>
      </c>
      <c r="EZ9" t="e">
        <f>AND('Dep r'!A12,"AAAAAF/v/5s=")</f>
        <v>#VALUE!</v>
      </c>
      <c r="FA9" t="e">
        <f>AND('Dep r'!B12,"AAAAAF/v/5w=")</f>
        <v>#VALUE!</v>
      </c>
      <c r="FB9" t="e">
        <f>AND('Dep r'!C12,"AAAAAF/v/50=")</f>
        <v>#VALUE!</v>
      </c>
      <c r="FC9" t="e">
        <f>AND('Dep r'!D12,"AAAAAF/v/54=")</f>
        <v>#VALUE!</v>
      </c>
      <c r="FD9" t="e">
        <f>AND('Dep r'!E12,"AAAAAF/v/58=")</f>
        <v>#VALUE!</v>
      </c>
      <c r="FE9" t="e">
        <f>AND('Dep r'!F12,"AAAAAF/v/6A=")</f>
        <v>#VALUE!</v>
      </c>
      <c r="FF9" t="e">
        <f>AND('Dep r'!G12,"AAAAAF/v/6E=")</f>
        <v>#VALUE!</v>
      </c>
      <c r="FG9" t="e">
        <f>AND('Dep r'!H12,"AAAAAF/v/6I=")</f>
        <v>#VALUE!</v>
      </c>
      <c r="FH9" t="e">
        <f>AND('Dep r'!I12,"AAAAAF/v/6M=")</f>
        <v>#VALUE!</v>
      </c>
      <c r="FI9" t="e">
        <f>AND('Dep r'!J12,"AAAAAF/v/6Q=")</f>
        <v>#VALUE!</v>
      </c>
      <c r="FJ9" t="e">
        <f>AND('Dep r'!K12,"AAAAAF/v/6U=")</f>
        <v>#VALUE!</v>
      </c>
      <c r="FK9" t="e">
        <f>AND('Dep r'!L12,"AAAAAF/v/6Y=")</f>
        <v>#VALUE!</v>
      </c>
      <c r="FL9" t="e">
        <f>AND('Dep r'!M12,"AAAAAF/v/6c=")</f>
        <v>#VALUE!</v>
      </c>
      <c r="FM9">
        <f>IF('Dep r'!13:13,"AAAAAF/v/6g=",0)</f>
        <v>0</v>
      </c>
      <c r="FN9" t="e">
        <f>AND('Dep r'!A13,"AAAAAF/v/6k=")</f>
        <v>#VALUE!</v>
      </c>
      <c r="FO9" t="e">
        <f>AND('Dep r'!B13,"AAAAAF/v/6o=")</f>
        <v>#VALUE!</v>
      </c>
      <c r="FP9" t="e">
        <f>AND('Dep r'!C13,"AAAAAF/v/6s=")</f>
        <v>#VALUE!</v>
      </c>
      <c r="FQ9" t="e">
        <f>AND('Dep r'!D13,"AAAAAF/v/6w=")</f>
        <v>#VALUE!</v>
      </c>
      <c r="FR9" t="e">
        <f>AND('Dep r'!E13,"AAAAAF/v/60=")</f>
        <v>#VALUE!</v>
      </c>
      <c r="FS9" t="e">
        <f>AND('Dep r'!F13,"AAAAAF/v/64=")</f>
        <v>#VALUE!</v>
      </c>
      <c r="FT9" t="e">
        <f>AND('Dep r'!G13,"AAAAAF/v/68=")</f>
        <v>#VALUE!</v>
      </c>
      <c r="FU9" t="e">
        <f>AND('Dep r'!H13,"AAAAAF/v/7A=")</f>
        <v>#VALUE!</v>
      </c>
      <c r="FV9" t="e">
        <f>AND('Dep r'!I13,"AAAAAF/v/7E=")</f>
        <v>#VALUE!</v>
      </c>
      <c r="FW9" t="e">
        <f>AND('Dep r'!J13,"AAAAAF/v/7I=")</f>
        <v>#VALUE!</v>
      </c>
      <c r="FX9" t="e">
        <f>AND('Dep r'!K13,"AAAAAF/v/7M=")</f>
        <v>#VALUE!</v>
      </c>
      <c r="FY9" t="e">
        <f>AND('Dep r'!L13,"AAAAAF/v/7Q=")</f>
        <v>#VALUE!</v>
      </c>
      <c r="FZ9" t="e">
        <f>AND('Dep r'!M13,"AAAAAF/v/7U=")</f>
        <v>#VALUE!</v>
      </c>
      <c r="GA9">
        <f>IF('Dep r'!14:14,"AAAAAF/v/7Y=",0)</f>
        <v>0</v>
      </c>
      <c r="GB9" t="e">
        <f>AND('Dep r'!A14,"AAAAAF/v/7c=")</f>
        <v>#VALUE!</v>
      </c>
      <c r="GC9" t="e">
        <f>AND('Dep r'!B14,"AAAAAF/v/7g=")</f>
        <v>#VALUE!</v>
      </c>
      <c r="GD9" t="e">
        <f>AND('Dep r'!C14,"AAAAAF/v/7k=")</f>
        <v>#VALUE!</v>
      </c>
      <c r="GE9" t="e">
        <f>AND('Dep r'!D14,"AAAAAF/v/7o=")</f>
        <v>#VALUE!</v>
      </c>
      <c r="GF9" t="e">
        <f>AND('Dep r'!E14,"AAAAAF/v/7s=")</f>
        <v>#VALUE!</v>
      </c>
      <c r="GG9" t="e">
        <f>AND('Dep r'!F14,"AAAAAF/v/7w=")</f>
        <v>#VALUE!</v>
      </c>
      <c r="GH9" t="e">
        <f>AND('Dep r'!G14,"AAAAAF/v/70=")</f>
        <v>#VALUE!</v>
      </c>
      <c r="GI9" t="e">
        <f>AND('Dep r'!H14,"AAAAAF/v/74=")</f>
        <v>#VALUE!</v>
      </c>
      <c r="GJ9" t="e">
        <f>AND('Dep r'!I14,"AAAAAF/v/78=")</f>
        <v>#VALUE!</v>
      </c>
      <c r="GK9" t="e">
        <f>AND('Dep r'!J14,"AAAAAF/v/8A=")</f>
        <v>#VALUE!</v>
      </c>
      <c r="GL9" t="e">
        <f>AND('Dep r'!K14,"AAAAAF/v/8E=")</f>
        <v>#VALUE!</v>
      </c>
      <c r="GM9" t="e">
        <f>AND('Dep r'!L14,"AAAAAF/v/8I=")</f>
        <v>#VALUE!</v>
      </c>
      <c r="GN9" t="e">
        <f>AND('Dep r'!M14,"AAAAAF/v/8M=")</f>
        <v>#VALUE!</v>
      </c>
      <c r="GO9">
        <f>IF('Dep r'!15:15,"AAAAAF/v/8Q=",0)</f>
        <v>0</v>
      </c>
      <c r="GP9" t="e">
        <f>AND('Dep r'!A15,"AAAAAF/v/8U=")</f>
        <v>#VALUE!</v>
      </c>
      <c r="GQ9" t="e">
        <f>AND('Dep r'!B15,"AAAAAF/v/8Y=")</f>
        <v>#VALUE!</v>
      </c>
      <c r="GR9" t="e">
        <f>AND('Dep r'!C15,"AAAAAF/v/8c=")</f>
        <v>#VALUE!</v>
      </c>
      <c r="GS9" t="e">
        <f>AND('Dep r'!D15,"AAAAAF/v/8g=")</f>
        <v>#VALUE!</v>
      </c>
      <c r="GT9" t="e">
        <f>AND('Dep r'!E15,"AAAAAF/v/8k=")</f>
        <v>#VALUE!</v>
      </c>
      <c r="GU9" t="e">
        <f>AND('Dep r'!F15,"AAAAAF/v/8o=")</f>
        <v>#VALUE!</v>
      </c>
      <c r="GV9" t="e">
        <f>AND('Dep r'!G15,"AAAAAF/v/8s=")</f>
        <v>#VALUE!</v>
      </c>
      <c r="GW9" t="e">
        <f>AND('Dep r'!H15,"AAAAAF/v/8w=")</f>
        <v>#VALUE!</v>
      </c>
      <c r="GX9" t="e">
        <f>AND('Dep r'!I15,"AAAAAF/v/80=")</f>
        <v>#VALUE!</v>
      </c>
      <c r="GY9" t="e">
        <f>AND('Dep r'!J15,"AAAAAF/v/84=")</f>
        <v>#VALUE!</v>
      </c>
      <c r="GZ9" t="e">
        <f>AND('Dep r'!K15,"AAAAAF/v/88=")</f>
        <v>#VALUE!</v>
      </c>
      <c r="HA9" t="e">
        <f>AND('Dep r'!L15,"AAAAAF/v/9A=")</f>
        <v>#VALUE!</v>
      </c>
      <c r="HB9" t="e">
        <f>AND('Dep r'!M15,"AAAAAF/v/9E=")</f>
        <v>#VALUE!</v>
      </c>
      <c r="HC9">
        <f>IF('Dep r'!16:16,"AAAAAF/v/9I=",0)</f>
        <v>0</v>
      </c>
      <c r="HD9" t="e">
        <f>AND('Dep r'!A16,"AAAAAF/v/9M=")</f>
        <v>#VALUE!</v>
      </c>
      <c r="HE9" t="e">
        <f>AND('Dep r'!B16,"AAAAAF/v/9Q=")</f>
        <v>#VALUE!</v>
      </c>
      <c r="HF9" t="e">
        <f>AND('Dep r'!C16,"AAAAAF/v/9U=")</f>
        <v>#VALUE!</v>
      </c>
      <c r="HG9" t="e">
        <f>AND('Dep r'!D16,"AAAAAF/v/9Y=")</f>
        <v>#VALUE!</v>
      </c>
      <c r="HH9" t="e">
        <f>AND('Dep r'!E16,"AAAAAF/v/9c=")</f>
        <v>#VALUE!</v>
      </c>
      <c r="HI9" t="e">
        <f>AND('Dep r'!F16,"AAAAAF/v/9g=")</f>
        <v>#VALUE!</v>
      </c>
      <c r="HJ9" t="e">
        <f>AND('Dep r'!G16,"AAAAAF/v/9k=")</f>
        <v>#VALUE!</v>
      </c>
      <c r="HK9" t="e">
        <f>AND('Dep r'!H16,"AAAAAF/v/9o=")</f>
        <v>#VALUE!</v>
      </c>
      <c r="HL9" t="e">
        <f>AND('Dep r'!I16,"AAAAAF/v/9s=")</f>
        <v>#VALUE!</v>
      </c>
      <c r="HM9" t="e">
        <f>AND('Dep r'!J16,"AAAAAF/v/9w=")</f>
        <v>#VALUE!</v>
      </c>
      <c r="HN9" t="e">
        <f>AND('Dep r'!K16,"AAAAAF/v/90=")</f>
        <v>#VALUE!</v>
      </c>
      <c r="HO9" t="e">
        <f>AND('Dep r'!L16,"AAAAAF/v/94=")</f>
        <v>#VALUE!</v>
      </c>
      <c r="HP9" t="e">
        <f>AND('Dep r'!M16,"AAAAAF/v/98=")</f>
        <v>#VALUE!</v>
      </c>
      <c r="HQ9">
        <f>IF('Dep r'!17:17,"AAAAAF/v/+A=",0)</f>
        <v>0</v>
      </c>
      <c r="HR9" t="e">
        <f>AND('Dep r'!A17,"AAAAAF/v/+E=")</f>
        <v>#VALUE!</v>
      </c>
      <c r="HS9" t="e">
        <f>AND('Dep r'!B17,"AAAAAF/v/+I=")</f>
        <v>#VALUE!</v>
      </c>
      <c r="HT9" t="e">
        <f>AND('Dep r'!C17,"AAAAAF/v/+M=")</f>
        <v>#VALUE!</v>
      </c>
      <c r="HU9" t="e">
        <f>AND('Dep r'!D17,"AAAAAF/v/+Q=")</f>
        <v>#VALUE!</v>
      </c>
      <c r="HV9" t="e">
        <f>AND('Dep r'!E17,"AAAAAF/v/+U=")</f>
        <v>#VALUE!</v>
      </c>
      <c r="HW9" t="e">
        <f>AND('Dep r'!F17,"AAAAAF/v/+Y=")</f>
        <v>#VALUE!</v>
      </c>
      <c r="HX9" t="e">
        <f>AND('Dep r'!G17,"AAAAAF/v/+c=")</f>
        <v>#VALUE!</v>
      </c>
      <c r="HY9" t="e">
        <f>AND('Dep r'!H17,"AAAAAF/v/+g=")</f>
        <v>#VALUE!</v>
      </c>
      <c r="HZ9" t="e">
        <f>AND('Dep r'!I17,"AAAAAF/v/+k=")</f>
        <v>#VALUE!</v>
      </c>
      <c r="IA9" t="e">
        <f>AND('Dep r'!J17,"AAAAAF/v/+o=")</f>
        <v>#VALUE!</v>
      </c>
      <c r="IB9" t="e">
        <f>AND('Dep r'!K17,"AAAAAF/v/+s=")</f>
        <v>#VALUE!</v>
      </c>
      <c r="IC9" t="e">
        <f>AND('Dep r'!L17,"AAAAAF/v/+w=")</f>
        <v>#VALUE!</v>
      </c>
      <c r="ID9" t="e">
        <f>AND('Dep r'!M17,"AAAAAF/v/+0=")</f>
        <v>#VALUE!</v>
      </c>
      <c r="IE9">
        <f>IF('Dep r'!18:18,"AAAAAF/v/+4=",0)</f>
        <v>0</v>
      </c>
      <c r="IF9" t="e">
        <f>AND('Dep r'!A18,"AAAAAF/v/+8=")</f>
        <v>#VALUE!</v>
      </c>
      <c r="IG9" t="e">
        <f>AND('Dep r'!B18,"AAAAAF/v//A=")</f>
        <v>#VALUE!</v>
      </c>
      <c r="IH9" t="e">
        <f>AND('Dep r'!C18,"AAAAAF/v//E=")</f>
        <v>#VALUE!</v>
      </c>
      <c r="II9" t="e">
        <f>AND('Dep r'!D18,"AAAAAF/v//I=")</f>
        <v>#VALUE!</v>
      </c>
      <c r="IJ9" t="e">
        <f>AND('Dep r'!E18,"AAAAAF/v//M=")</f>
        <v>#VALUE!</v>
      </c>
      <c r="IK9" t="e">
        <f>AND('Dep r'!F18,"AAAAAF/v//Q=")</f>
        <v>#VALUE!</v>
      </c>
      <c r="IL9" t="e">
        <f>AND('Dep r'!G18,"AAAAAF/v//U=")</f>
        <v>#VALUE!</v>
      </c>
      <c r="IM9" t="e">
        <f>AND('Dep r'!H18,"AAAAAF/v//Y=")</f>
        <v>#VALUE!</v>
      </c>
      <c r="IN9" t="e">
        <f>AND('Dep r'!I18,"AAAAAF/v//c=")</f>
        <v>#VALUE!</v>
      </c>
      <c r="IO9" t="e">
        <f>AND('Dep r'!J18,"AAAAAF/v//g=")</f>
        <v>#VALUE!</v>
      </c>
      <c r="IP9" t="e">
        <f>AND('Dep r'!K18,"AAAAAF/v//k=")</f>
        <v>#VALUE!</v>
      </c>
      <c r="IQ9" t="e">
        <f>AND('Dep r'!L18,"AAAAAF/v//o=")</f>
        <v>#VALUE!</v>
      </c>
      <c r="IR9" t="e">
        <f>AND('Dep r'!M18,"AAAAAF/v//s=")</f>
        <v>#VALUE!</v>
      </c>
      <c r="IS9">
        <f>IF('Dep r'!19:19,"AAAAAF/v//w=",0)</f>
        <v>0</v>
      </c>
      <c r="IT9" t="e">
        <f>AND('Dep r'!A19,"AAAAAF/v//0=")</f>
        <v>#VALUE!</v>
      </c>
      <c r="IU9" t="e">
        <f>AND('Dep r'!B19,"AAAAAF/v//4=")</f>
        <v>#VALUE!</v>
      </c>
      <c r="IV9" t="e">
        <f>AND('Dep r'!C19,"AAAAAF/v//8=")</f>
        <v>#VALUE!</v>
      </c>
    </row>
    <row r="10" spans="1:209" ht="15.75">
      <c r="A10" t="e">
        <f>AND('Dep r'!D19,"AAAAAD7/ewA=")</f>
        <v>#VALUE!</v>
      </c>
      <c r="B10" t="e">
        <f>AND('Dep r'!E19,"AAAAAD7/ewE=")</f>
        <v>#VALUE!</v>
      </c>
      <c r="C10" t="e">
        <f>AND('Dep r'!F19,"AAAAAD7/ewI=")</f>
        <v>#VALUE!</v>
      </c>
      <c r="D10" t="e">
        <f>AND('Dep r'!G19,"AAAAAD7/ewM=")</f>
        <v>#VALUE!</v>
      </c>
      <c r="E10" t="e">
        <f>AND('Dep r'!H19,"AAAAAD7/ewQ=")</f>
        <v>#VALUE!</v>
      </c>
      <c r="F10" t="e">
        <f>AND('Dep r'!I19,"AAAAAD7/ewU=")</f>
        <v>#VALUE!</v>
      </c>
      <c r="G10" t="e">
        <f>AND('Dep r'!J19,"AAAAAD7/ewY=")</f>
        <v>#VALUE!</v>
      </c>
      <c r="H10" t="e">
        <f>AND('Dep r'!K19,"AAAAAD7/ewc=")</f>
        <v>#VALUE!</v>
      </c>
      <c r="I10" t="e">
        <f>AND('Dep r'!L19,"AAAAAD7/ewg=")</f>
        <v>#VALUE!</v>
      </c>
      <c r="J10" t="e">
        <f>AND('Dep r'!M19,"AAAAAD7/ewk=")</f>
        <v>#VALUE!</v>
      </c>
      <c r="K10">
        <f>IF('Dep r'!20:20,"AAAAAD7/ewo=",0)</f>
        <v>0</v>
      </c>
      <c r="L10" t="e">
        <f>AND('Dep r'!A20,"AAAAAD7/ews=")</f>
        <v>#VALUE!</v>
      </c>
      <c r="M10" t="e">
        <f>AND('Dep r'!B20,"AAAAAD7/eww=")</f>
        <v>#VALUE!</v>
      </c>
      <c r="N10" t="e">
        <f>AND('Dep r'!C20,"AAAAAD7/ew0=")</f>
        <v>#VALUE!</v>
      </c>
      <c r="O10" t="e">
        <f>AND('Dep r'!D20,"AAAAAD7/ew4=")</f>
        <v>#VALUE!</v>
      </c>
      <c r="P10" t="e">
        <f>AND('Dep r'!E20,"AAAAAD7/ew8=")</f>
        <v>#VALUE!</v>
      </c>
      <c r="Q10" t="e">
        <f>AND('Dep r'!F20,"AAAAAD7/exA=")</f>
        <v>#VALUE!</v>
      </c>
      <c r="R10" t="e">
        <f>AND('Dep r'!G20,"AAAAAD7/exE=")</f>
        <v>#VALUE!</v>
      </c>
      <c r="S10" t="e">
        <f>AND('Dep r'!H20,"AAAAAD7/exI=")</f>
        <v>#VALUE!</v>
      </c>
      <c r="T10" t="e">
        <f>AND('Dep r'!I20,"AAAAAD7/exM=")</f>
        <v>#VALUE!</v>
      </c>
      <c r="U10" t="e">
        <f>AND('Dep r'!J20,"AAAAAD7/exQ=")</f>
        <v>#VALUE!</v>
      </c>
      <c r="V10" t="e">
        <f>AND('Dep r'!K20,"AAAAAD7/exU=")</f>
        <v>#VALUE!</v>
      </c>
      <c r="W10" t="e">
        <f>AND('Dep r'!L20,"AAAAAD7/exY=")</f>
        <v>#VALUE!</v>
      </c>
      <c r="X10" t="e">
        <f>AND('Dep r'!M20,"AAAAAD7/exc=")</f>
        <v>#VALUE!</v>
      </c>
      <c r="Y10">
        <f>IF('Dep r'!21:21,"AAAAAD7/exg=",0)</f>
        <v>0</v>
      </c>
      <c r="Z10" t="e">
        <f>AND('Dep r'!A21,"AAAAAD7/exk=")</f>
        <v>#VALUE!</v>
      </c>
      <c r="AA10" t="e">
        <f>AND('Dep r'!B21,"AAAAAD7/exo=")</f>
        <v>#VALUE!</v>
      </c>
      <c r="AB10" t="e">
        <f>AND('Dep r'!C21,"AAAAAD7/exs=")</f>
        <v>#VALUE!</v>
      </c>
      <c r="AC10" t="e">
        <f>AND('Dep r'!D21,"AAAAAD7/exw=")</f>
        <v>#VALUE!</v>
      </c>
      <c r="AD10" t="e">
        <f>AND('Dep r'!E21,"AAAAAD7/ex0=")</f>
        <v>#VALUE!</v>
      </c>
      <c r="AE10" t="e">
        <f>AND('Dep r'!F21,"AAAAAD7/ex4=")</f>
        <v>#VALUE!</v>
      </c>
      <c r="AF10" t="e">
        <f>AND('Dep r'!G21,"AAAAAD7/ex8=")</f>
        <v>#VALUE!</v>
      </c>
      <c r="AG10" t="e">
        <f>AND('Dep r'!H21,"AAAAAD7/eyA=")</f>
        <v>#VALUE!</v>
      </c>
      <c r="AH10" t="e">
        <f>AND('Dep r'!I21,"AAAAAD7/eyE=")</f>
        <v>#VALUE!</v>
      </c>
      <c r="AI10" t="e">
        <f>AND('Dep r'!J21,"AAAAAD7/eyI=")</f>
        <v>#VALUE!</v>
      </c>
      <c r="AJ10" t="e">
        <f>AND('Dep r'!K21,"AAAAAD7/eyM=")</f>
        <v>#VALUE!</v>
      </c>
      <c r="AK10" t="e">
        <f>AND('Dep r'!L21,"AAAAAD7/eyQ=")</f>
        <v>#VALUE!</v>
      </c>
      <c r="AL10" t="e">
        <f>AND('Dep r'!M21,"AAAAAD7/eyU=")</f>
        <v>#VALUE!</v>
      </c>
      <c r="AM10">
        <f>IF('Dep r'!22:22,"AAAAAD7/eyY=",0)</f>
        <v>0</v>
      </c>
      <c r="AN10" t="e">
        <f>AND('Dep r'!A22,"AAAAAD7/eyc=")</f>
        <v>#VALUE!</v>
      </c>
      <c r="AO10" t="e">
        <f>AND('Dep r'!B22,"AAAAAD7/eyg=")</f>
        <v>#VALUE!</v>
      </c>
      <c r="AP10" t="e">
        <f>AND('Dep r'!C22,"AAAAAD7/eyk=")</f>
        <v>#VALUE!</v>
      </c>
      <c r="AQ10" t="e">
        <f>AND('Dep r'!D22,"AAAAAD7/eyo=")</f>
        <v>#VALUE!</v>
      </c>
      <c r="AR10" t="e">
        <f>AND('Dep r'!E22,"AAAAAD7/eys=")</f>
        <v>#VALUE!</v>
      </c>
      <c r="AS10" t="e">
        <f>AND('Dep r'!F22,"AAAAAD7/eyw=")</f>
        <v>#VALUE!</v>
      </c>
      <c r="AT10" t="e">
        <f>AND('Dep r'!G22,"AAAAAD7/ey0=")</f>
        <v>#VALUE!</v>
      </c>
      <c r="AU10" t="e">
        <f>AND('Dep r'!H22,"AAAAAD7/ey4=")</f>
        <v>#VALUE!</v>
      </c>
      <c r="AV10" t="e">
        <f>AND('Dep r'!I22,"AAAAAD7/ey8=")</f>
        <v>#VALUE!</v>
      </c>
      <c r="AW10" t="e">
        <f>AND('Dep r'!J22,"AAAAAD7/ezA=")</f>
        <v>#VALUE!</v>
      </c>
      <c r="AX10" t="e">
        <f>AND('Dep r'!K22,"AAAAAD7/ezE=")</f>
        <v>#VALUE!</v>
      </c>
      <c r="AY10" t="e">
        <f>AND('Dep r'!L22,"AAAAAD7/ezI=")</f>
        <v>#VALUE!</v>
      </c>
      <c r="AZ10" t="e">
        <f>AND('Dep r'!M22,"AAAAAD7/ezM=")</f>
        <v>#VALUE!</v>
      </c>
      <c r="BA10">
        <f>IF('Dep r'!23:23,"AAAAAD7/ezQ=",0)</f>
        <v>0</v>
      </c>
      <c r="BB10" t="e">
        <f>AND('Dep r'!A23,"AAAAAD7/ezU=")</f>
        <v>#VALUE!</v>
      </c>
      <c r="BC10" t="e">
        <f>AND('Dep r'!B23,"AAAAAD7/ezY=")</f>
        <v>#VALUE!</v>
      </c>
      <c r="BD10" t="e">
        <f>AND('Dep r'!C23,"AAAAAD7/ezc=")</f>
        <v>#VALUE!</v>
      </c>
      <c r="BE10" t="e">
        <f>AND('Dep r'!D23,"AAAAAD7/ezg=")</f>
        <v>#VALUE!</v>
      </c>
      <c r="BF10" t="e">
        <f>AND('Dep r'!E23,"AAAAAD7/ezk=")</f>
        <v>#VALUE!</v>
      </c>
      <c r="BG10" t="e">
        <f>AND('Dep r'!F23,"AAAAAD7/ezo=")</f>
        <v>#VALUE!</v>
      </c>
      <c r="BH10" t="e">
        <f>AND('Dep r'!G23,"AAAAAD7/ezs=")</f>
        <v>#VALUE!</v>
      </c>
      <c r="BI10" t="e">
        <f>AND('Dep r'!H23,"AAAAAD7/ezw=")</f>
        <v>#VALUE!</v>
      </c>
      <c r="BJ10" t="e">
        <f>AND('Dep r'!I23,"AAAAAD7/ez0=")</f>
        <v>#VALUE!</v>
      </c>
      <c r="BK10" t="e">
        <f>AND('Dep r'!J23,"AAAAAD7/ez4=")</f>
        <v>#VALUE!</v>
      </c>
      <c r="BL10" t="e">
        <f>AND('Dep r'!K23,"AAAAAD7/ez8=")</f>
        <v>#VALUE!</v>
      </c>
      <c r="BM10" t="e">
        <f>AND('Dep r'!L23,"AAAAAD7/e0A=")</f>
        <v>#VALUE!</v>
      </c>
      <c r="BN10" t="e">
        <f>AND('Dep r'!M23,"AAAAAD7/e0E=")</f>
        <v>#VALUE!</v>
      </c>
      <c r="BO10">
        <f>IF('Dep r'!24:24,"AAAAAD7/e0I=",0)</f>
        <v>0</v>
      </c>
      <c r="BP10" t="e">
        <f>AND('Dep r'!A24,"AAAAAD7/e0M=")</f>
        <v>#VALUE!</v>
      </c>
      <c r="BQ10" t="e">
        <f>AND('Dep r'!B24,"AAAAAD7/e0Q=")</f>
        <v>#VALUE!</v>
      </c>
      <c r="BR10" t="e">
        <f>AND('Dep r'!C24,"AAAAAD7/e0U=")</f>
        <v>#VALUE!</v>
      </c>
      <c r="BS10">
        <f>IF('Dep r'!25:25,"AAAAAD7/e0Y=",0)</f>
        <v>0</v>
      </c>
      <c r="BT10" t="e">
        <f>AND('Dep r'!A25,"AAAAAD7/e0c=")</f>
        <v>#VALUE!</v>
      </c>
      <c r="BU10" t="e">
        <f>AND('Dep r'!B25,"AAAAAD7/e0g=")</f>
        <v>#VALUE!</v>
      </c>
      <c r="BV10" t="e">
        <f>AND('Dep r'!C25,"AAAAAD7/e0k=")</f>
        <v>#VALUE!</v>
      </c>
      <c r="BW10">
        <f>IF('Dep r'!A:A,"AAAAAD7/e0o=",0)</f>
        <v>0</v>
      </c>
      <c r="BX10" t="e">
        <f>IF('Dep r'!B:B,"AAAAAD7/e0s=",0)</f>
        <v>#VALUE!</v>
      </c>
      <c r="BY10">
        <f>IF('Dep r'!C:C,"AAAAAD7/e0w=",0)</f>
        <v>0</v>
      </c>
      <c r="BZ10">
        <f>IF('Dep r'!D:D,"AAAAAD7/e00=",0)</f>
        <v>0</v>
      </c>
      <c r="CA10" t="str">
        <f>IF('Dep r'!E:E,"AAAAAD7/e04=",0)</f>
        <v>AAAAAD7/e04=</v>
      </c>
      <c r="CB10">
        <f>IF('Dep r'!F:F,"AAAAAD7/e08=",0)</f>
        <v>0</v>
      </c>
      <c r="CC10">
        <f>IF('Dep r'!G:G,"AAAAAD7/e1A=",0)</f>
        <v>0</v>
      </c>
      <c r="CD10">
        <f>IF('Dep r'!H:H,"AAAAAD7/e1E=",0)</f>
        <v>0</v>
      </c>
      <c r="CE10" t="str">
        <f>IF('Dep r'!I:I,"AAAAAD7/e1I=",0)</f>
        <v>AAAAAD7/e1I=</v>
      </c>
      <c r="CF10">
        <f>IF('Dep r'!J:J,"AAAAAD7/e1M=",0)</f>
        <v>0</v>
      </c>
      <c r="CG10">
        <f>IF('Dep r'!K:K,"AAAAAD7/e1Q=",0)</f>
        <v>0</v>
      </c>
      <c r="CH10">
        <f>IF('Dep r'!L:L,"AAAAAD7/e1U=",0)</f>
        <v>0</v>
      </c>
      <c r="CI10">
        <f>IF('Dep r'!M:M,"AAAAAD7/e1Y=",0)</f>
        <v>0</v>
      </c>
      <c r="CJ10">
        <f>IF(Zr!1:1,"AAAAAD7/e1c=",0)</f>
        <v>0</v>
      </c>
      <c r="CK10" t="e">
        <f>AND(Zr!B1,"AAAAAD7/e1g=")</f>
        <v>#VALUE!</v>
      </c>
      <c r="CL10" t="e">
        <f>AND(Zr!C1,"AAAAAD7/e1k=")</f>
        <v>#VALUE!</v>
      </c>
      <c r="CM10" t="e">
        <f>AND(Zr!D1,"AAAAAD7/e1o=")</f>
        <v>#VALUE!</v>
      </c>
      <c r="CN10" t="e">
        <f>AND(Zr!E1,"AAAAAD7/e1s=")</f>
        <v>#VALUE!</v>
      </c>
      <c r="CO10" t="e">
        <f>AND(Zr!F1,"AAAAAD7/e1w=")</f>
        <v>#VALUE!</v>
      </c>
      <c r="CP10" t="e">
        <f>AND(Zr!G1,"AAAAAD7/e10=")</f>
        <v>#VALUE!</v>
      </c>
      <c r="CQ10" t="e">
        <f>AND(Zr!H1,"AAAAAD7/e14=")</f>
        <v>#VALUE!</v>
      </c>
      <c r="CR10">
        <f>IF(Zr!2:2,"AAAAAD7/e18=",0)</f>
        <v>0</v>
      </c>
      <c r="CS10" t="e">
        <f>AND(Zr!B2,"AAAAAD7/e2A=")</f>
        <v>#VALUE!</v>
      </c>
      <c r="CT10" t="e">
        <f>AND(Zr!C2,"AAAAAD7/e2E=")</f>
        <v>#VALUE!</v>
      </c>
      <c r="CU10" t="e">
        <f>AND(Zr!D2,"AAAAAD7/e2I=")</f>
        <v>#VALUE!</v>
      </c>
      <c r="CV10" t="e">
        <f>AND(Zr!E2,"AAAAAD7/e2M=")</f>
        <v>#VALUE!</v>
      </c>
      <c r="CW10" t="e">
        <f>AND(Zr!F2,"AAAAAD7/e2Q=")</f>
        <v>#VALUE!</v>
      </c>
      <c r="CX10" t="e">
        <f>AND(Zr!G2,"AAAAAD7/e2U=")</f>
        <v>#VALUE!</v>
      </c>
      <c r="CY10" t="e">
        <f>AND(Zr!H2,"AAAAAD7/e2Y=")</f>
        <v>#VALUE!</v>
      </c>
      <c r="CZ10">
        <f>IF(Zr!3:3,"AAAAAD7/e2c=",0)</f>
        <v>0</v>
      </c>
      <c r="DA10" t="e">
        <f>AND(Zr!B3,"AAAAAD7/e2g=")</f>
        <v>#VALUE!</v>
      </c>
      <c r="DB10" t="e">
        <f>AND(Zr!C3,"AAAAAD7/e2k=")</f>
        <v>#VALUE!</v>
      </c>
      <c r="DC10" t="e">
        <f>AND(Zr!D3,"AAAAAD7/e2o=")</f>
        <v>#VALUE!</v>
      </c>
      <c r="DD10" t="e">
        <f>AND(Zr!E3,"AAAAAD7/e2s=")</f>
        <v>#VALUE!</v>
      </c>
      <c r="DE10" t="e">
        <f>AND(Zr!F3,"AAAAAD7/e2w=")</f>
        <v>#VALUE!</v>
      </c>
      <c r="DF10" t="e">
        <f>AND(Zr!G3,"AAAAAD7/e20=")</f>
        <v>#VALUE!</v>
      </c>
      <c r="DG10" t="e">
        <f>AND(Zr!H3,"AAAAAD7/e24=")</f>
        <v>#VALUE!</v>
      </c>
      <c r="DH10">
        <f>IF(Zr!4:4,"AAAAAD7/e28=",0)</f>
        <v>0</v>
      </c>
      <c r="DI10" t="e">
        <f>AND(Zr!B4,"AAAAAD7/e3A=")</f>
        <v>#VALUE!</v>
      </c>
      <c r="DJ10" t="e">
        <f>AND(Zr!C4,"AAAAAD7/e3E=")</f>
        <v>#VALUE!</v>
      </c>
      <c r="DK10" t="e">
        <f>AND(Zr!D4,"AAAAAD7/e3I=")</f>
        <v>#VALUE!</v>
      </c>
      <c r="DL10" t="e">
        <f>AND(Zr!E4,"AAAAAD7/e3M=")</f>
        <v>#VALUE!</v>
      </c>
      <c r="DM10" t="e">
        <f>AND(Zr!F4,"AAAAAD7/e3Q=")</f>
        <v>#VALUE!</v>
      </c>
      <c r="DN10" t="e">
        <f>AND(Zr!G4,"AAAAAD7/e3U=")</f>
        <v>#VALUE!</v>
      </c>
      <c r="DO10" t="e">
        <f>AND(Zr!H4,"AAAAAD7/e3Y=")</f>
        <v>#VALUE!</v>
      </c>
      <c r="DP10">
        <f>IF(Zr!5:5,"AAAAAD7/e3c=",0)</f>
        <v>0</v>
      </c>
      <c r="DQ10" t="e">
        <f>AND(Zr!B5,"AAAAAD7/e3g=")</f>
        <v>#VALUE!</v>
      </c>
      <c r="DR10" t="e">
        <f>AND(Zr!C5,"AAAAAD7/e3k=")</f>
        <v>#VALUE!</v>
      </c>
      <c r="DS10" t="e">
        <f>AND(Zr!D5,"AAAAAD7/e3o=")</f>
        <v>#VALUE!</v>
      </c>
      <c r="DT10" t="e">
        <f>AND(Zr!E5,"AAAAAD7/e3s=")</f>
        <v>#VALUE!</v>
      </c>
      <c r="DU10" t="e">
        <f>AND(Zr!F5,"AAAAAD7/e3w=")</f>
        <v>#VALUE!</v>
      </c>
      <c r="DV10" t="e">
        <f>AND(Zr!G5,"AAAAAD7/e30=")</f>
        <v>#VALUE!</v>
      </c>
      <c r="DW10" t="e">
        <f>AND(Zr!H5,"AAAAAD7/e34=")</f>
        <v>#VALUE!</v>
      </c>
      <c r="DX10">
        <f>IF(Zr!6:6,"AAAAAD7/e38=",0)</f>
        <v>0</v>
      </c>
      <c r="DY10" t="e">
        <f>AND(Zr!B6,"AAAAAD7/e4A=")</f>
        <v>#VALUE!</v>
      </c>
      <c r="DZ10" t="e">
        <f>AND(Zr!C6,"AAAAAD7/e4E=")</f>
        <v>#VALUE!</v>
      </c>
      <c r="EA10" t="e">
        <f>AND(Zr!D6,"AAAAAD7/e4I=")</f>
        <v>#VALUE!</v>
      </c>
      <c r="EB10" t="e">
        <f>AND(Zr!E6,"AAAAAD7/e4M=")</f>
        <v>#VALUE!</v>
      </c>
      <c r="EC10" t="e">
        <f>AND(Zr!F6,"AAAAAD7/e4Q=")</f>
        <v>#VALUE!</v>
      </c>
      <c r="ED10" t="e">
        <f>AND(Zr!G6,"AAAAAD7/e4U=")</f>
        <v>#VALUE!</v>
      </c>
      <c r="EE10" t="e">
        <f>AND(Zr!H6,"AAAAAD7/e4Y=")</f>
        <v>#VALUE!</v>
      </c>
      <c r="EF10">
        <f>IF(Zr!7:7,"AAAAAD7/e4c=",0)</f>
        <v>0</v>
      </c>
      <c r="EG10" t="e">
        <f>AND(Zr!B7,"AAAAAD7/e4g=")</f>
        <v>#VALUE!</v>
      </c>
      <c r="EH10" t="e">
        <f>AND(Zr!C7,"AAAAAD7/e4k=")</f>
        <v>#VALUE!</v>
      </c>
      <c r="EI10" t="e">
        <f>AND(Zr!D7,"AAAAAD7/e4o=")</f>
        <v>#VALUE!</v>
      </c>
      <c r="EJ10" t="e">
        <f>AND(Zr!E7,"AAAAAD7/e4s=")</f>
        <v>#VALUE!</v>
      </c>
      <c r="EK10" t="e">
        <f>AND(Zr!F7,"AAAAAD7/e4w=")</f>
        <v>#VALUE!</v>
      </c>
      <c r="EL10" t="e">
        <f>AND(Zr!G7,"AAAAAD7/e40=")</f>
        <v>#VALUE!</v>
      </c>
      <c r="EM10" t="e">
        <f>AND(Zr!H7,"AAAAAD7/e44=")</f>
        <v>#VALUE!</v>
      </c>
      <c r="EN10">
        <f>IF(Zr!8:8,"AAAAAD7/e48=",0)</f>
        <v>0</v>
      </c>
      <c r="EO10" t="e">
        <f>AND(Zr!B8,"AAAAAD7/e5A=")</f>
        <v>#VALUE!</v>
      </c>
      <c r="EP10" t="e">
        <f>AND(Zr!C8,"AAAAAD7/e5E=")</f>
        <v>#VALUE!</v>
      </c>
      <c r="EQ10" t="e">
        <f>AND(Zr!D8,"AAAAAD7/e5I=")</f>
        <v>#VALUE!</v>
      </c>
      <c r="ER10" t="e">
        <f>AND(Zr!E8,"AAAAAD7/e5M=")</f>
        <v>#VALUE!</v>
      </c>
      <c r="ES10" t="e">
        <f>AND(Zr!F8,"AAAAAD7/e5Q=")</f>
        <v>#VALUE!</v>
      </c>
      <c r="ET10" t="e">
        <f>AND(Zr!G8,"AAAAAD7/e5U=")</f>
        <v>#VALUE!</v>
      </c>
      <c r="EU10" t="e">
        <f>AND(Zr!H8,"AAAAAD7/e5Y=")</f>
        <v>#VALUE!</v>
      </c>
      <c r="EV10">
        <f>IF(Zr!9:9,"AAAAAD7/e5c=",0)</f>
        <v>0</v>
      </c>
      <c r="EW10" t="e">
        <f>AND(Zr!B9,"AAAAAD7/e5g=")</f>
        <v>#VALUE!</v>
      </c>
      <c r="EX10" t="e">
        <f>AND(Zr!C9,"AAAAAD7/e5k=")</f>
        <v>#VALUE!</v>
      </c>
      <c r="EY10" t="e">
        <f>AND(Zr!D9,"AAAAAD7/e5o=")</f>
        <v>#VALUE!</v>
      </c>
      <c r="EZ10" t="e">
        <f>AND(Zr!E9,"AAAAAD7/e5s=")</f>
        <v>#VALUE!</v>
      </c>
      <c r="FA10" t="e">
        <f>AND(Zr!F9,"AAAAAD7/e5w=")</f>
        <v>#VALUE!</v>
      </c>
      <c r="FB10" t="e">
        <f>AND(Zr!G9,"AAAAAD7/e50=")</f>
        <v>#VALUE!</v>
      </c>
      <c r="FC10" t="e">
        <f>AND(Zr!H9,"AAAAAD7/e54=")</f>
        <v>#VALUE!</v>
      </c>
      <c r="FD10">
        <f>IF(Zr!10:10,"AAAAAD7/e58=",0)</f>
        <v>0</v>
      </c>
      <c r="FE10" t="e">
        <f>AND(Zr!B10,"AAAAAD7/e6A=")</f>
        <v>#VALUE!</v>
      </c>
      <c r="FF10" t="e">
        <f>AND(Zr!C10,"AAAAAD7/e6E=")</f>
        <v>#VALUE!</v>
      </c>
      <c r="FG10" t="e">
        <f>AND(Zr!D10,"AAAAAD7/e6I=")</f>
        <v>#VALUE!</v>
      </c>
      <c r="FH10" t="e">
        <f>AND(Zr!E10,"AAAAAD7/e6M=")</f>
        <v>#VALUE!</v>
      </c>
      <c r="FI10" t="e">
        <f>AND(Zr!F10,"AAAAAD7/e6Q=")</f>
        <v>#VALUE!</v>
      </c>
      <c r="FJ10" t="e">
        <f>AND(Zr!G10,"AAAAAD7/e6U=")</f>
        <v>#VALUE!</v>
      </c>
      <c r="FK10" t="e">
        <f>AND(Zr!H10,"AAAAAD7/e6Y=")</f>
        <v>#VALUE!</v>
      </c>
      <c r="FL10">
        <f>IF(Zr!11:11,"AAAAAD7/e6c=",0)</f>
        <v>0</v>
      </c>
      <c r="FM10" t="e">
        <f>AND(Zr!B11,"AAAAAD7/e6g=")</f>
        <v>#VALUE!</v>
      </c>
      <c r="FN10" t="e">
        <f>AND(Zr!C11,"AAAAAD7/e6k=")</f>
        <v>#VALUE!</v>
      </c>
      <c r="FO10" t="e">
        <f>AND(Zr!D11,"AAAAAD7/e6o=")</f>
        <v>#VALUE!</v>
      </c>
      <c r="FP10" t="e">
        <f>AND(Zr!E11,"AAAAAD7/e6s=")</f>
        <v>#VALUE!</v>
      </c>
      <c r="FQ10" t="e">
        <f>AND(Zr!F11,"AAAAAD7/e6w=")</f>
        <v>#VALUE!</v>
      </c>
      <c r="FR10" t="e">
        <f>AND(Zr!G11,"AAAAAD7/e60=")</f>
        <v>#VALUE!</v>
      </c>
      <c r="FS10" t="e">
        <f>AND(Zr!H11,"AAAAAD7/e64=")</f>
        <v>#VALUE!</v>
      </c>
      <c r="FT10">
        <f>IF(Zr!12:12,"AAAAAD7/e68=",0)</f>
        <v>0</v>
      </c>
      <c r="FU10" t="e">
        <f>AND(Zr!B12,"AAAAAD7/e7A=")</f>
        <v>#VALUE!</v>
      </c>
      <c r="FV10" t="e">
        <f>AND(Zr!C12,"AAAAAD7/e7E=")</f>
        <v>#VALUE!</v>
      </c>
      <c r="FW10" t="e">
        <f>AND(Zr!D12,"AAAAAD7/e7I=")</f>
        <v>#VALUE!</v>
      </c>
      <c r="FX10" t="e">
        <f>AND(Zr!E12,"AAAAAD7/e7M=")</f>
        <v>#VALUE!</v>
      </c>
      <c r="FY10" t="e">
        <f>AND(Zr!F12,"AAAAAD7/e7Q=")</f>
        <v>#VALUE!</v>
      </c>
      <c r="FZ10" t="e">
        <f>AND(Zr!G12,"AAAAAD7/e7U=")</f>
        <v>#VALUE!</v>
      </c>
      <c r="GA10" t="e">
        <f>AND(Zr!H12,"AAAAAD7/e7Y=")</f>
        <v>#VALUE!</v>
      </c>
      <c r="GB10">
        <f>IF(Zr!13:13,"AAAAAD7/e7c=",0)</f>
        <v>0</v>
      </c>
      <c r="GC10" t="e">
        <f>AND(Zr!B13,"AAAAAD7/e7g=")</f>
        <v>#VALUE!</v>
      </c>
      <c r="GD10" t="e">
        <f>AND(Zr!C13,"AAAAAD7/e7k=")</f>
        <v>#VALUE!</v>
      </c>
      <c r="GE10" t="e">
        <f>AND(Zr!D13,"AAAAAD7/e7o=")</f>
        <v>#VALUE!</v>
      </c>
      <c r="GF10" t="e">
        <f>AND(Zr!E13,"AAAAAD7/e7s=")</f>
        <v>#VALUE!</v>
      </c>
      <c r="GG10" t="e">
        <f>AND(Zr!F13,"AAAAAD7/e7w=")</f>
        <v>#VALUE!</v>
      </c>
      <c r="GH10" t="e">
        <f>AND(Zr!G13,"AAAAAD7/e70=")</f>
        <v>#VALUE!</v>
      </c>
      <c r="GI10" t="e">
        <f>AND(Zr!H13,"AAAAAD7/e74=")</f>
        <v>#VALUE!</v>
      </c>
      <c r="GJ10">
        <f>IF(Zr!14:14,"AAAAAD7/e78=",0)</f>
        <v>0</v>
      </c>
      <c r="GK10" t="e">
        <f>AND(Zr!B14,"AAAAAD7/e8A=")</f>
        <v>#VALUE!</v>
      </c>
      <c r="GL10" t="e">
        <f>AND(Zr!C14,"AAAAAD7/e8E=")</f>
        <v>#VALUE!</v>
      </c>
      <c r="GM10" t="e">
        <f>AND(Zr!D14,"AAAAAD7/e8I=")</f>
        <v>#VALUE!</v>
      </c>
      <c r="GN10" t="e">
        <f>AND(Zr!E14,"AAAAAD7/e8M=")</f>
        <v>#VALUE!</v>
      </c>
      <c r="GO10" t="e">
        <f>AND(Zr!F14,"AAAAAD7/e8Q=")</f>
        <v>#VALUE!</v>
      </c>
      <c r="GP10" t="e">
        <f>AND(Zr!G14,"AAAAAD7/e8U=")</f>
        <v>#VALUE!</v>
      </c>
      <c r="GQ10" t="e">
        <f>AND(Zr!H14,"AAAAAD7/e8Y=")</f>
        <v>#VALUE!</v>
      </c>
      <c r="GR10">
        <f>IF(Zr!15:15,"AAAAAD7/e8c=",0)</f>
        <v>0</v>
      </c>
      <c r="GS10">
        <f>IF(Zr!16:16,"AAAAAD7/e8g=",0)</f>
        <v>0</v>
      </c>
      <c r="GT10">
        <f>IF(Zr!A:A,"AAAAAD7/e8k=",0)</f>
        <v>0</v>
      </c>
      <c r="GU10">
        <f>IF(Zr!B:B,"AAAAAD7/e8o=",0)</f>
        <v>0</v>
      </c>
      <c r="GV10">
        <f>IF(Zr!C:C,"AAAAAD7/e8s=",0)</f>
        <v>0</v>
      </c>
      <c r="GW10">
        <f>IF(Zr!D:D,"AAAAAD7/e8w=",0)</f>
        <v>0</v>
      </c>
      <c r="GX10">
        <f>IF(Zr!E:E,"AAAAAD7/e80=",0)</f>
        <v>0</v>
      </c>
      <c r="GY10">
        <f>IF(Zr!F:F,"AAAAAD7/e84=",0)</f>
        <v>0</v>
      </c>
      <c r="GZ10">
        <f>IF(Zr!G:G,"AAAAAD7/e88=",0)</f>
        <v>0</v>
      </c>
      <c r="HA10">
        <f>IF(Zr!H:H,"AAAAAD7/e9A=",0)</f>
        <v>0</v>
      </c>
    </row>
    <row r="11" spans="1:2" ht="15.75">
      <c r="A11" t="e">
        <f>AND('CI for P'!J13,"AAAAAH/v2QA=")</f>
        <v>#VALUE!</v>
      </c>
      <c r="B11" t="e">
        <f>AND('CI for P'!J15,"AAAAAH/v2QE=")</f>
        <v>#VALUE!</v>
      </c>
    </row>
    <row r="12" spans="1:256" ht="15.75">
      <c r="A12" t="e">
        <f>AND('CI for P'!C6,"AAAAAH97nQA=")</f>
        <v>#VALUE!</v>
      </c>
      <c r="B12" t="e">
        <f>AND('CI for P'!C8,"AAAAAH97nQE=")</f>
        <v>#VALUE!</v>
      </c>
      <c r="C12" t="e">
        <f>AND('CI for P'!C10,"AAAAAH97nQI=")</f>
        <v>#VALUE!</v>
      </c>
      <c r="D12" t="e">
        <f>AND('CI for P'!B14,"AAAAAH97nQM=")</f>
        <v>#VALUE!</v>
      </c>
      <c r="E12" t="e">
        <f>AND('CI for P'!D14,"AAAAAH97nQQ=")</f>
        <v>#VALUE!</v>
      </c>
      <c r="F12" t="e">
        <f>AND('CI for P'!F14,"AAAAAH97nQU=")</f>
        <v>#VALUE!</v>
      </c>
      <c r="G12" t="e">
        <f>AND('CI for P'!D16,"AAAAAH97nQY=")</f>
        <v>#VALUE!</v>
      </c>
      <c r="H12" t="e">
        <f>AND('CI for P'!F16,"AAAAAH97nQc=")</f>
        <v>#VALUE!</v>
      </c>
      <c r="I12" t="e">
        <f>AND('CI for P'!B24,"AAAAAH97nQg=")</f>
        <v>#VALUE!</v>
      </c>
      <c r="J12" t="e">
        <f>AND('CI for P'!C24,"AAAAAH97nQk=")</f>
        <v>#VALUE!</v>
      </c>
      <c r="K12" t="e">
        <f>AND('CI for P'!D24,"AAAAAH97nQo=")</f>
        <v>#VALUE!</v>
      </c>
      <c r="L12" t="e">
        <f>AND('CI for P'!E24,"AAAAAH97nQs=")</f>
        <v>#VALUE!</v>
      </c>
      <c r="M12" t="e">
        <f>AND('CI for P'!F24,"AAAAAH97nQw=")</f>
        <v>#VALUE!</v>
      </c>
      <c r="N12" t="e">
        <f>AND('CI for P'!G24,"AAAAAH97nQ0=")</f>
        <v>#VALUE!</v>
      </c>
      <c r="O12" t="e">
        <f>AND('CI for P'!H24,"AAAAAH97nQ4=")</f>
        <v>#VALUE!</v>
      </c>
      <c r="P12" t="e">
        <f>AND('CI for P'!B25,"AAAAAH97nQ8=")</f>
        <v>#VALUE!</v>
      </c>
      <c r="Q12" t="e">
        <f>AND('CI for P'!C25,"AAAAAH97nRA=")</f>
        <v>#VALUE!</v>
      </c>
      <c r="R12" t="e">
        <f>AND('CI for P'!D25,"AAAAAH97nRE=")</f>
        <v>#VALUE!</v>
      </c>
      <c r="S12" t="e">
        <f>AND('CI for P'!E25,"AAAAAH97nRI=")</f>
        <v>#VALUE!</v>
      </c>
      <c r="T12" t="e">
        <f>AND('CI for P'!F25,"AAAAAH97nRM=")</f>
        <v>#VALUE!</v>
      </c>
      <c r="U12" t="e">
        <f>AND('CI for P'!G25,"AAAAAH97nRQ=")</f>
        <v>#VALUE!</v>
      </c>
      <c r="V12" t="e">
        <f>AND('CI for P'!H25,"AAAAAH97nRU=")</f>
        <v>#VALUE!</v>
      </c>
      <c r="W12" t="e">
        <f>AND('CI for P'!B26,"AAAAAH97nRY=")</f>
        <v>#VALUE!</v>
      </c>
      <c r="X12" t="e">
        <f>AND('CI for P'!C26,"AAAAAH97nRc=")</f>
        <v>#VALUE!</v>
      </c>
      <c r="Y12" t="e">
        <f>AND('CI for P'!D26,"AAAAAH97nRg=")</f>
        <v>#VALUE!</v>
      </c>
      <c r="Z12" t="e">
        <f>AND('CI for P'!E26,"AAAAAH97nRk=")</f>
        <v>#VALUE!</v>
      </c>
      <c r="AA12" t="e">
        <f>AND('CI for P'!F26,"AAAAAH97nRo=")</f>
        <v>#VALUE!</v>
      </c>
      <c r="AB12" t="e">
        <f>AND('CI for P'!G26,"AAAAAH97nRs=")</f>
        <v>#VALUE!</v>
      </c>
      <c r="AC12" t="e">
        <f>AND('CI for P'!H26,"AAAAAH97nRw=")</f>
        <v>#VALUE!</v>
      </c>
      <c r="AD12">
        <f>IF(Median!1:1,"AAAAAH97nR0=",0)</f>
        <v>0</v>
      </c>
      <c r="AE12" t="e">
        <f>AND(Median!B1,"AAAAAH97nR4=")</f>
        <v>#VALUE!</v>
      </c>
      <c r="AF12" t="e">
        <f>AND(Median!C1,"AAAAAH97nR8=")</f>
        <v>#VALUE!</v>
      </c>
      <c r="AG12" t="e">
        <f>AND(Median!D1,"AAAAAH97nSA=")</f>
        <v>#VALUE!</v>
      </c>
      <c r="AH12" t="e">
        <f>AND(Median!E1,"AAAAAH97nSE=")</f>
        <v>#VALUE!</v>
      </c>
      <c r="AI12" t="e">
        <f>AND(Median!F1,"AAAAAH97nSI=")</f>
        <v>#VALUE!</v>
      </c>
      <c r="AJ12" t="e">
        <f>AND(Median!G1,"AAAAAH97nSM=")</f>
        <v>#VALUE!</v>
      </c>
      <c r="AK12" t="e">
        <f>AND(Median!H1,"AAAAAH97nSQ=")</f>
        <v>#VALUE!</v>
      </c>
      <c r="AL12" t="e">
        <f>AND(Median!I1,"AAAAAH97nSU=")</f>
        <v>#VALUE!</v>
      </c>
      <c r="AM12" t="e">
        <f>AND(Median!J1,"AAAAAH97nSY=")</f>
        <v>#VALUE!</v>
      </c>
      <c r="AN12">
        <f>IF(Median!2:2,"AAAAAH97nSc=",0)</f>
        <v>0</v>
      </c>
      <c r="AO12" t="e">
        <f>AND(Median!B2,"AAAAAH97nSg=")</f>
        <v>#VALUE!</v>
      </c>
      <c r="AP12" t="e">
        <f>AND(Median!C2,"AAAAAH97nSk=")</f>
        <v>#VALUE!</v>
      </c>
      <c r="AQ12" t="e">
        <f>AND(Median!D2,"AAAAAH97nSo=")</f>
        <v>#VALUE!</v>
      </c>
      <c r="AR12" t="e">
        <f>AND(Median!E2,"AAAAAH97nSs=")</f>
        <v>#VALUE!</v>
      </c>
      <c r="AS12" t="e">
        <f>AND(Median!F2,"AAAAAH97nSw=")</f>
        <v>#VALUE!</v>
      </c>
      <c r="AT12" t="e">
        <f>AND(Median!G2,"AAAAAH97nS0=")</f>
        <v>#VALUE!</v>
      </c>
      <c r="AU12" t="e">
        <f>AND(Median!H2,"AAAAAH97nS4=")</f>
        <v>#VALUE!</v>
      </c>
      <c r="AV12" t="e">
        <f>AND(Median!I2,"AAAAAH97nS8=")</f>
        <v>#VALUE!</v>
      </c>
      <c r="AW12" t="e">
        <f>AND(Median!J2,"AAAAAH97nTA=")</f>
        <v>#VALUE!</v>
      </c>
      <c r="AX12">
        <f>IF(Median!3:3,"AAAAAH97nTE=",0)</f>
        <v>0</v>
      </c>
      <c r="AY12" t="e">
        <f>AND(Median!B3,"AAAAAH97nTI=")</f>
        <v>#VALUE!</v>
      </c>
      <c r="AZ12" t="e">
        <f>AND(Median!C3,"AAAAAH97nTM=")</f>
        <v>#VALUE!</v>
      </c>
      <c r="BA12" t="e">
        <f>AND(Median!D3,"AAAAAH97nTQ=")</f>
        <v>#VALUE!</v>
      </c>
      <c r="BB12" t="e">
        <f>AND(Median!E3,"AAAAAH97nTU=")</f>
        <v>#VALUE!</v>
      </c>
      <c r="BC12" t="e">
        <f>AND(Median!F3,"AAAAAH97nTY=")</f>
        <v>#VALUE!</v>
      </c>
      <c r="BD12" t="e">
        <f>AND(Median!G3,"AAAAAH97nTc=")</f>
        <v>#VALUE!</v>
      </c>
      <c r="BE12" t="e">
        <f>AND(Median!H3,"AAAAAH97nTg=")</f>
        <v>#VALUE!</v>
      </c>
      <c r="BF12" t="e">
        <f>AND(Median!I3,"AAAAAH97nTk=")</f>
        <v>#VALUE!</v>
      </c>
      <c r="BG12" t="e">
        <f>AND(Median!J3,"AAAAAH97nTo=")</f>
        <v>#VALUE!</v>
      </c>
      <c r="BH12">
        <f>IF(Median!4:4,"AAAAAH97nTs=",0)</f>
        <v>0</v>
      </c>
      <c r="BI12" t="e">
        <f>AND(Median!B4,"AAAAAH97nTw=")</f>
        <v>#VALUE!</v>
      </c>
      <c r="BJ12" t="e">
        <f>AND(Median!C4,"AAAAAH97nT0=")</f>
        <v>#VALUE!</v>
      </c>
      <c r="BK12" t="e">
        <f>AND(Median!D4,"AAAAAH97nT4=")</f>
        <v>#VALUE!</v>
      </c>
      <c r="BL12" t="e">
        <f>AND(Median!E4,"AAAAAH97nT8=")</f>
        <v>#VALUE!</v>
      </c>
      <c r="BM12" t="e">
        <f>AND(Median!F4,"AAAAAH97nUA=")</f>
        <v>#VALUE!</v>
      </c>
      <c r="BN12" t="e">
        <f>AND(Median!G4,"AAAAAH97nUE=")</f>
        <v>#VALUE!</v>
      </c>
      <c r="BO12" t="e">
        <f>AND(Median!H4,"AAAAAH97nUI=")</f>
        <v>#VALUE!</v>
      </c>
      <c r="BP12" t="e">
        <f>AND(Median!I4,"AAAAAH97nUM=")</f>
        <v>#VALUE!</v>
      </c>
      <c r="BQ12" t="e">
        <f>AND(Median!J4,"AAAAAH97nUQ=")</f>
        <v>#VALUE!</v>
      </c>
      <c r="BR12">
        <f>IF(Median!5:5,"AAAAAH97nUU=",0)</f>
        <v>0</v>
      </c>
      <c r="BS12" t="e">
        <f>AND(Median!B5,"AAAAAH97nUY=")</f>
        <v>#VALUE!</v>
      </c>
      <c r="BT12" t="e">
        <f>AND(Median!C5,"AAAAAH97nUc=")</f>
        <v>#VALUE!</v>
      </c>
      <c r="BU12" t="e">
        <f>AND(Median!D5,"AAAAAH97nUg=")</f>
        <v>#VALUE!</v>
      </c>
      <c r="BV12" t="e">
        <f>AND(Median!E5,"AAAAAH97nUk=")</f>
        <v>#VALUE!</v>
      </c>
      <c r="BW12" t="e">
        <f>AND(Median!F5,"AAAAAH97nUo=")</f>
        <v>#VALUE!</v>
      </c>
      <c r="BX12" t="e">
        <f>AND(Median!G5,"AAAAAH97nUs=")</f>
        <v>#VALUE!</v>
      </c>
      <c r="BY12" t="e">
        <f>AND(Median!H5,"AAAAAH97nUw=")</f>
        <v>#VALUE!</v>
      </c>
      <c r="BZ12" t="e">
        <f>AND(Median!I5,"AAAAAH97nU0=")</f>
        <v>#VALUE!</v>
      </c>
      <c r="CA12" t="e">
        <f>AND(Median!J5,"AAAAAH97nU4=")</f>
        <v>#VALUE!</v>
      </c>
      <c r="CB12">
        <f>IF(Median!6:6,"AAAAAH97nU8=",0)</f>
        <v>0</v>
      </c>
      <c r="CC12" t="e">
        <f>AND(Median!B6,"AAAAAH97nVA=")</f>
        <v>#VALUE!</v>
      </c>
      <c r="CD12" t="e">
        <f>AND(Median!C6,"AAAAAH97nVE=")</f>
        <v>#VALUE!</v>
      </c>
      <c r="CE12" t="e">
        <f>AND(Median!D6,"AAAAAH97nVI=")</f>
        <v>#VALUE!</v>
      </c>
      <c r="CF12" t="e">
        <f>AND(Median!E6,"AAAAAH97nVM=")</f>
        <v>#VALUE!</v>
      </c>
      <c r="CG12" t="e">
        <f>AND(Median!F6,"AAAAAH97nVQ=")</f>
        <v>#VALUE!</v>
      </c>
      <c r="CH12" t="e">
        <f>AND(Median!G6,"AAAAAH97nVU=")</f>
        <v>#VALUE!</v>
      </c>
      <c r="CI12" t="e">
        <f>AND(Median!H6,"AAAAAH97nVY=")</f>
        <v>#VALUE!</v>
      </c>
      <c r="CJ12" t="e">
        <f>AND(Median!I6,"AAAAAH97nVc=")</f>
        <v>#VALUE!</v>
      </c>
      <c r="CK12" t="e">
        <f>AND(Median!J6,"AAAAAH97nVg=")</f>
        <v>#VALUE!</v>
      </c>
      <c r="CL12">
        <f>IF(Median!7:7,"AAAAAH97nVk=",0)</f>
        <v>0</v>
      </c>
      <c r="CM12" t="e">
        <f>AND(Median!B7,"AAAAAH97nVo=")</f>
        <v>#VALUE!</v>
      </c>
      <c r="CN12" t="e">
        <f>AND(Median!C7,"AAAAAH97nVs=")</f>
        <v>#VALUE!</v>
      </c>
      <c r="CO12" t="e">
        <f>AND(Median!D7,"AAAAAH97nVw=")</f>
        <v>#VALUE!</v>
      </c>
      <c r="CP12" t="e">
        <f>AND(Median!E7,"AAAAAH97nV0=")</f>
        <v>#VALUE!</v>
      </c>
      <c r="CQ12" t="e">
        <f>AND(Median!F7,"AAAAAH97nV4=")</f>
        <v>#VALUE!</v>
      </c>
      <c r="CR12" t="e">
        <f>AND(Median!G7,"AAAAAH97nV8=")</f>
        <v>#VALUE!</v>
      </c>
      <c r="CS12" t="e">
        <f>AND(Median!H7,"AAAAAH97nWA=")</f>
        <v>#VALUE!</v>
      </c>
      <c r="CT12" t="e">
        <f>AND(Median!I7,"AAAAAH97nWE=")</f>
        <v>#VALUE!</v>
      </c>
      <c r="CU12" t="e">
        <f>AND(Median!J7,"AAAAAH97nWI=")</f>
        <v>#VALUE!</v>
      </c>
      <c r="CV12">
        <f>IF(Median!8:8,"AAAAAH97nWM=",0)</f>
        <v>0</v>
      </c>
      <c r="CW12" t="e">
        <f>AND(Median!B8,"AAAAAH97nWQ=")</f>
        <v>#VALUE!</v>
      </c>
      <c r="CX12" t="e">
        <f>AND(Median!C8,"AAAAAH97nWU=")</f>
        <v>#VALUE!</v>
      </c>
      <c r="CY12" t="e">
        <f>AND(Median!D8,"AAAAAH97nWY=")</f>
        <v>#VALUE!</v>
      </c>
      <c r="CZ12" t="e">
        <f>AND(Median!E8,"AAAAAH97nWc=")</f>
        <v>#VALUE!</v>
      </c>
      <c r="DA12" t="e">
        <f>AND(Median!F8,"AAAAAH97nWg=")</f>
        <v>#VALUE!</v>
      </c>
      <c r="DB12" t="e">
        <f>AND(Median!G8,"AAAAAH97nWk=")</f>
        <v>#VALUE!</v>
      </c>
      <c r="DC12" t="e">
        <f>AND(Median!H8,"AAAAAH97nWo=")</f>
        <v>#VALUE!</v>
      </c>
      <c r="DD12" t="e">
        <f>AND(Median!I8,"AAAAAH97nWs=")</f>
        <v>#VALUE!</v>
      </c>
      <c r="DE12" t="e">
        <f>AND(Median!J8,"AAAAAH97nWw=")</f>
        <v>#VALUE!</v>
      </c>
      <c r="DF12">
        <f>IF(Median!9:9,"AAAAAH97nW0=",0)</f>
        <v>0</v>
      </c>
      <c r="DG12" t="e">
        <f>AND(Median!B9,"AAAAAH97nW4=")</f>
        <v>#VALUE!</v>
      </c>
      <c r="DH12" t="e">
        <f>AND(Median!C9,"AAAAAH97nW8=")</f>
        <v>#VALUE!</v>
      </c>
      <c r="DI12" t="e">
        <f>AND(Median!D9,"AAAAAH97nXA=")</f>
        <v>#VALUE!</v>
      </c>
      <c r="DJ12" t="e">
        <f>AND(Median!E9,"AAAAAH97nXE=")</f>
        <v>#VALUE!</v>
      </c>
      <c r="DK12" t="e">
        <f>AND(Median!F9,"AAAAAH97nXI=")</f>
        <v>#VALUE!</v>
      </c>
      <c r="DL12" t="e">
        <f>AND(Median!G9,"AAAAAH97nXM=")</f>
        <v>#VALUE!</v>
      </c>
      <c r="DM12" t="e">
        <f>AND(Median!H9,"AAAAAH97nXQ=")</f>
        <v>#VALUE!</v>
      </c>
      <c r="DN12" t="e">
        <f>AND(Median!I9,"AAAAAH97nXU=")</f>
        <v>#VALUE!</v>
      </c>
      <c r="DO12" t="e">
        <f>AND(Median!J9,"AAAAAH97nXY=")</f>
        <v>#VALUE!</v>
      </c>
      <c r="DP12">
        <f>IF(Median!10:10,"AAAAAH97nXc=",0)</f>
        <v>0</v>
      </c>
      <c r="DQ12" t="e">
        <f>AND(Median!B10,"AAAAAH97nXg=")</f>
        <v>#VALUE!</v>
      </c>
      <c r="DR12" t="e">
        <f>AND(Median!C10,"AAAAAH97nXk=")</f>
        <v>#VALUE!</v>
      </c>
      <c r="DS12" t="e">
        <f>AND(Median!D10,"AAAAAH97nXo=")</f>
        <v>#VALUE!</v>
      </c>
      <c r="DT12" t="e">
        <f>AND(Median!E10,"AAAAAH97nXs=")</f>
        <v>#VALUE!</v>
      </c>
      <c r="DU12" t="e">
        <f>AND(Median!F10,"AAAAAH97nXw=")</f>
        <v>#VALUE!</v>
      </c>
      <c r="DV12" t="e">
        <f>AND(Median!G10,"AAAAAH97nX0=")</f>
        <v>#VALUE!</v>
      </c>
      <c r="DW12" t="e">
        <f>AND(Median!H10,"AAAAAH97nX4=")</f>
        <v>#VALUE!</v>
      </c>
      <c r="DX12" t="e">
        <f>AND(Median!I10,"AAAAAH97nX8=")</f>
        <v>#VALUE!</v>
      </c>
      <c r="DY12" t="e">
        <f>AND(Median!J10,"AAAAAH97nYA=")</f>
        <v>#VALUE!</v>
      </c>
      <c r="DZ12">
        <f>IF(Median!11:11,"AAAAAH97nYE=",0)</f>
        <v>0</v>
      </c>
      <c r="EA12" t="e">
        <f>AND(Median!B11,"AAAAAH97nYI=")</f>
        <v>#VALUE!</v>
      </c>
      <c r="EB12" t="e">
        <f>AND(Median!C11,"AAAAAH97nYM=")</f>
        <v>#VALUE!</v>
      </c>
      <c r="EC12" t="e">
        <f>AND(Median!D11,"AAAAAH97nYQ=")</f>
        <v>#VALUE!</v>
      </c>
      <c r="ED12" t="e">
        <f>AND(Median!E11,"AAAAAH97nYU=")</f>
        <v>#VALUE!</v>
      </c>
      <c r="EE12" t="e">
        <f>AND(Median!F11,"AAAAAH97nYY=")</f>
        <v>#VALUE!</v>
      </c>
      <c r="EF12" t="e">
        <f>AND(Median!G11,"AAAAAH97nYc=")</f>
        <v>#VALUE!</v>
      </c>
      <c r="EG12" t="e">
        <f>AND(Median!H11,"AAAAAH97nYg=")</f>
        <v>#VALUE!</v>
      </c>
      <c r="EH12" t="e">
        <f>AND(Median!I11,"AAAAAH97nYk=")</f>
        <v>#VALUE!</v>
      </c>
      <c r="EI12" t="e">
        <f>AND(Median!J11,"AAAAAH97nYo=")</f>
        <v>#VALUE!</v>
      </c>
      <c r="EJ12">
        <f>IF(Median!12:12,"AAAAAH97nYs=",0)</f>
        <v>0</v>
      </c>
      <c r="EK12" t="e">
        <f>AND(Median!B12,"AAAAAH97nYw=")</f>
        <v>#VALUE!</v>
      </c>
      <c r="EL12" t="e">
        <f>AND(Median!C12,"AAAAAH97nY0=")</f>
        <v>#VALUE!</v>
      </c>
      <c r="EM12" t="e">
        <f>AND(Median!D12,"AAAAAH97nY4=")</f>
        <v>#VALUE!</v>
      </c>
      <c r="EN12" t="e">
        <f>AND(Median!E12,"AAAAAH97nY8=")</f>
        <v>#VALUE!</v>
      </c>
      <c r="EO12" t="e">
        <f>AND(Median!F12,"AAAAAH97nZA=")</f>
        <v>#VALUE!</v>
      </c>
      <c r="EP12" t="e">
        <f>AND(Median!G12,"AAAAAH97nZE=")</f>
        <v>#VALUE!</v>
      </c>
      <c r="EQ12" t="e">
        <f>AND(Median!H12,"AAAAAH97nZI=")</f>
        <v>#VALUE!</v>
      </c>
      <c r="ER12" t="e">
        <f>AND(Median!I12,"AAAAAH97nZM=")</f>
        <v>#VALUE!</v>
      </c>
      <c r="ES12" t="e">
        <f>AND(Median!J12,"AAAAAH97nZQ=")</f>
        <v>#VALUE!</v>
      </c>
      <c r="ET12">
        <f>IF(Median!13:13,"AAAAAH97nZU=",0)</f>
        <v>0</v>
      </c>
      <c r="EU12" t="e">
        <f>AND(Median!B13,"AAAAAH97nZY=")</f>
        <v>#VALUE!</v>
      </c>
      <c r="EV12" t="e">
        <f>AND(Median!C13,"AAAAAH97nZc=")</f>
        <v>#VALUE!</v>
      </c>
      <c r="EW12" t="e">
        <f>AND(Median!D13,"AAAAAH97nZg=")</f>
        <v>#VALUE!</v>
      </c>
      <c r="EX12" t="e">
        <f>AND(Median!E13,"AAAAAH97nZk=")</f>
        <v>#VALUE!</v>
      </c>
      <c r="EY12" t="e">
        <f>AND(Median!F13,"AAAAAH97nZo=")</f>
        <v>#VALUE!</v>
      </c>
      <c r="EZ12" t="e">
        <f>AND(Median!G13,"AAAAAH97nZs=")</f>
        <v>#VALUE!</v>
      </c>
      <c r="FA12" t="e">
        <f>AND(Median!H13,"AAAAAH97nZw=")</f>
        <v>#VALUE!</v>
      </c>
      <c r="FB12" t="e">
        <f>AND(Median!I13,"AAAAAH97nZ0=")</f>
        <v>#VALUE!</v>
      </c>
      <c r="FC12" t="e">
        <f>AND(Median!J13,"AAAAAH97nZ4=")</f>
        <v>#VALUE!</v>
      </c>
      <c r="FD12">
        <f>IF(Median!14:14,"AAAAAH97nZ8=",0)</f>
        <v>0</v>
      </c>
      <c r="FE12" t="e">
        <f>AND(Median!B14,"AAAAAH97naA=")</f>
        <v>#VALUE!</v>
      </c>
      <c r="FF12" t="e">
        <f>AND(Median!C14,"AAAAAH97naE=")</f>
        <v>#VALUE!</v>
      </c>
      <c r="FG12" t="e">
        <f>AND(Median!D14,"AAAAAH97naI=")</f>
        <v>#VALUE!</v>
      </c>
      <c r="FH12" t="e">
        <f>AND(Median!E14,"AAAAAH97naM=")</f>
        <v>#VALUE!</v>
      </c>
      <c r="FI12" t="e">
        <f>AND(Median!F14,"AAAAAH97naQ=")</f>
        <v>#VALUE!</v>
      </c>
      <c r="FJ12" t="e">
        <f>AND(Median!G14,"AAAAAH97naU=")</f>
        <v>#VALUE!</v>
      </c>
      <c r="FK12" t="e">
        <f>AND(Median!H14,"AAAAAH97naY=")</f>
        <v>#VALUE!</v>
      </c>
      <c r="FL12" t="e">
        <f>AND(Median!I14,"AAAAAH97nac=")</f>
        <v>#VALUE!</v>
      </c>
      <c r="FM12" t="e">
        <f>AND(Median!J14,"AAAAAH97nag=")</f>
        <v>#VALUE!</v>
      </c>
      <c r="FN12">
        <f>IF(Median!15:15,"AAAAAH97nak=",0)</f>
        <v>0</v>
      </c>
      <c r="FO12" t="e">
        <f>AND(Median!B15,"AAAAAH97nao=")</f>
        <v>#VALUE!</v>
      </c>
      <c r="FP12" t="e">
        <f>AND(Median!C15,"AAAAAH97nas=")</f>
        <v>#VALUE!</v>
      </c>
      <c r="FQ12" t="e">
        <f>AND(Median!D15,"AAAAAH97naw=")</f>
        <v>#VALUE!</v>
      </c>
      <c r="FR12" t="e">
        <f>AND(Median!E15,"AAAAAH97na0=")</f>
        <v>#VALUE!</v>
      </c>
      <c r="FS12" t="e">
        <f>AND(Median!F15,"AAAAAH97na4=")</f>
        <v>#VALUE!</v>
      </c>
      <c r="FT12" t="e">
        <f>AND(Median!G15,"AAAAAH97na8=")</f>
        <v>#VALUE!</v>
      </c>
      <c r="FU12" t="e">
        <f>AND(Median!H15,"AAAAAH97nbA=")</f>
        <v>#VALUE!</v>
      </c>
      <c r="FV12" t="e">
        <f>AND(Median!I15,"AAAAAH97nbE=")</f>
        <v>#VALUE!</v>
      </c>
      <c r="FW12" t="e">
        <f>AND(Median!J15,"AAAAAH97nbI=")</f>
        <v>#VALUE!</v>
      </c>
      <c r="FX12">
        <f>IF(Median!16:16,"AAAAAH97nbM=",0)</f>
        <v>0</v>
      </c>
      <c r="FY12">
        <f>IF(Median!A:A,"AAAAAH97nbQ=",0)</f>
        <v>0</v>
      </c>
      <c r="FZ12">
        <f>IF(Median!B:B,"AAAAAH97nbU=",0)</f>
        <v>0</v>
      </c>
      <c r="GA12">
        <f>IF(Median!C:C,"AAAAAH97nbY=",0)</f>
        <v>0</v>
      </c>
      <c r="GB12">
        <f>IF(Median!D:D,"AAAAAH97nbc=",0)</f>
        <v>0</v>
      </c>
      <c r="GC12">
        <f>IF(Median!E:E,"AAAAAH97nbg=",0)</f>
        <v>0</v>
      </c>
      <c r="GD12">
        <f>IF(Median!F:F,"AAAAAH97nbk=",0)</f>
        <v>0</v>
      </c>
      <c r="GE12">
        <f>IF(Median!G:G,"AAAAAH97nbo=",0)</f>
        <v>0</v>
      </c>
      <c r="GF12">
        <f>IF(Median!H:H,"AAAAAH97nbs=",0)</f>
        <v>0</v>
      </c>
      <c r="GG12">
        <f>IF(Median!I:I,"AAAAAH97nbw=",0)</f>
        <v>0</v>
      </c>
      <c r="GH12">
        <f>IF(Median!J:J,"AAAAAH97nb0=",0)</f>
        <v>0</v>
      </c>
      <c r="GI12">
        <f>IF('Finite pop'!1:1,"AAAAAH97nb4=",0)</f>
        <v>0</v>
      </c>
      <c r="GJ12" t="e">
        <f>AND('Finite pop'!B1,"AAAAAH97nb8=")</f>
        <v>#VALUE!</v>
      </c>
      <c r="GK12" t="e">
        <f>AND('Finite pop'!C1,"AAAAAH97ncA=")</f>
        <v>#VALUE!</v>
      </c>
      <c r="GL12" t="e">
        <f>AND('Finite pop'!D1,"AAAAAH97ncE=")</f>
        <v>#VALUE!</v>
      </c>
      <c r="GM12" t="e">
        <f>AND('Finite pop'!E1,"AAAAAH97ncI=")</f>
        <v>#VALUE!</v>
      </c>
      <c r="GN12" t="e">
        <f>AND('Finite pop'!F1,"AAAAAH97ncM=")</f>
        <v>#VALUE!</v>
      </c>
      <c r="GO12" t="e">
        <f>AND('Finite pop'!G1,"AAAAAH97ncQ=")</f>
        <v>#VALUE!</v>
      </c>
      <c r="GP12" t="e">
        <f>AND('Finite pop'!H1,"AAAAAH97ncU=")</f>
        <v>#VALUE!</v>
      </c>
      <c r="GQ12" t="e">
        <f>AND('Finite pop'!I1,"AAAAAH97ncY=")</f>
        <v>#VALUE!</v>
      </c>
      <c r="GR12" t="e">
        <f>AND('Finite pop'!J1,"AAAAAH97ncc=")</f>
        <v>#VALUE!</v>
      </c>
      <c r="GS12" t="e">
        <f>AND('Finite pop'!K1,"AAAAAH97ncg=")</f>
        <v>#VALUE!</v>
      </c>
      <c r="GT12" t="e">
        <f>AND('Finite pop'!L1,"AAAAAH97nck=")</f>
        <v>#VALUE!</v>
      </c>
      <c r="GU12">
        <f>IF('Finite pop'!2:2,"AAAAAH97nco=",0)</f>
        <v>0</v>
      </c>
      <c r="GV12" t="e">
        <f>AND('Finite pop'!B2,"AAAAAH97ncs=")</f>
        <v>#VALUE!</v>
      </c>
      <c r="GW12" t="e">
        <f>AND('Finite pop'!C2,"AAAAAH97ncw=")</f>
        <v>#VALUE!</v>
      </c>
      <c r="GX12" t="e">
        <f>AND('Finite pop'!D2,"AAAAAH97nc0=")</f>
        <v>#VALUE!</v>
      </c>
      <c r="GY12" t="e">
        <f>AND('Finite pop'!E2,"AAAAAH97nc4=")</f>
        <v>#VALUE!</v>
      </c>
      <c r="GZ12" t="e">
        <f>AND('Finite pop'!F2,"AAAAAH97nc8=")</f>
        <v>#VALUE!</v>
      </c>
      <c r="HA12" t="e">
        <f>AND('Finite pop'!G2,"AAAAAH97ndA=")</f>
        <v>#VALUE!</v>
      </c>
      <c r="HB12" t="e">
        <f>AND('Finite pop'!H2,"AAAAAH97ndE=")</f>
        <v>#VALUE!</v>
      </c>
      <c r="HC12" t="e">
        <f>AND('Finite pop'!I2,"AAAAAH97ndI=")</f>
        <v>#VALUE!</v>
      </c>
      <c r="HD12" t="e">
        <f>AND('Finite pop'!J2,"AAAAAH97ndM=")</f>
        <v>#VALUE!</v>
      </c>
      <c r="HE12" t="e">
        <f>AND('Finite pop'!K2,"AAAAAH97ndQ=")</f>
        <v>#VALUE!</v>
      </c>
      <c r="HF12" t="e">
        <f>AND('Finite pop'!L2,"AAAAAH97ndU=")</f>
        <v>#VALUE!</v>
      </c>
      <c r="HG12">
        <f>IF('Finite pop'!3:3,"AAAAAH97ndY=",0)</f>
        <v>0</v>
      </c>
      <c r="HH12" t="e">
        <f>AND('Finite pop'!B3,"AAAAAH97ndc=")</f>
        <v>#VALUE!</v>
      </c>
      <c r="HI12" t="e">
        <f>AND('Finite pop'!C3,"AAAAAH97ndg=")</f>
        <v>#VALUE!</v>
      </c>
      <c r="HJ12" t="e">
        <f>AND('Finite pop'!D3,"AAAAAH97ndk=")</f>
        <v>#VALUE!</v>
      </c>
      <c r="HK12" t="e">
        <f>AND('Finite pop'!E3,"AAAAAH97ndo=")</f>
        <v>#VALUE!</v>
      </c>
      <c r="HL12" t="e">
        <f>AND('Finite pop'!F3,"AAAAAH97nds=")</f>
        <v>#VALUE!</v>
      </c>
      <c r="HM12" t="e">
        <f>AND('Finite pop'!G3,"AAAAAH97ndw=")</f>
        <v>#VALUE!</v>
      </c>
      <c r="HN12" t="e">
        <f>AND('Finite pop'!H3,"AAAAAH97nd0=")</f>
        <v>#VALUE!</v>
      </c>
      <c r="HO12" t="e">
        <f>AND('Finite pop'!I3,"AAAAAH97nd4=")</f>
        <v>#VALUE!</v>
      </c>
      <c r="HP12" t="e">
        <f>AND('Finite pop'!J3,"AAAAAH97nd8=")</f>
        <v>#VALUE!</v>
      </c>
      <c r="HQ12" t="e">
        <f>AND('Finite pop'!K3,"AAAAAH97neA=")</f>
        <v>#VALUE!</v>
      </c>
      <c r="HR12" t="e">
        <f>AND('Finite pop'!L3,"AAAAAH97neE=")</f>
        <v>#VALUE!</v>
      </c>
      <c r="HS12">
        <f>IF('Finite pop'!4:4,"AAAAAH97neI=",0)</f>
        <v>0</v>
      </c>
      <c r="HT12" t="e">
        <f>AND('Finite pop'!B4,"AAAAAH97neM=")</f>
        <v>#VALUE!</v>
      </c>
      <c r="HU12" t="e">
        <f>AND('Finite pop'!C4,"AAAAAH97neQ=")</f>
        <v>#VALUE!</v>
      </c>
      <c r="HV12" t="e">
        <f>AND('Finite pop'!D4,"AAAAAH97neU=")</f>
        <v>#VALUE!</v>
      </c>
      <c r="HW12" t="e">
        <f>AND('Finite pop'!E4,"AAAAAH97neY=")</f>
        <v>#VALUE!</v>
      </c>
      <c r="HX12" t="e">
        <f>AND('Finite pop'!F4,"AAAAAH97nec=")</f>
        <v>#VALUE!</v>
      </c>
      <c r="HY12" t="e">
        <f>AND('Finite pop'!G4,"AAAAAH97neg=")</f>
        <v>#VALUE!</v>
      </c>
      <c r="HZ12" t="e">
        <f>AND('Finite pop'!H4,"AAAAAH97nek=")</f>
        <v>#VALUE!</v>
      </c>
      <c r="IA12" t="e">
        <f>AND('Finite pop'!I4,"AAAAAH97neo=")</f>
        <v>#VALUE!</v>
      </c>
      <c r="IB12" t="e">
        <f>AND('Finite pop'!J4,"AAAAAH97nes=")</f>
        <v>#VALUE!</v>
      </c>
      <c r="IC12" t="e">
        <f>AND('Finite pop'!K4,"AAAAAH97new=")</f>
        <v>#VALUE!</v>
      </c>
      <c r="ID12" t="e">
        <f>AND('Finite pop'!L4,"AAAAAH97ne0=")</f>
        <v>#VALUE!</v>
      </c>
      <c r="IE12">
        <f>IF('Finite pop'!5:5,"AAAAAH97ne4=",0)</f>
        <v>0</v>
      </c>
      <c r="IF12" t="e">
        <f>AND('Finite pop'!B5,"AAAAAH97ne8=")</f>
        <v>#VALUE!</v>
      </c>
      <c r="IG12" t="e">
        <f>AND('Finite pop'!C5,"AAAAAH97nfA=")</f>
        <v>#VALUE!</v>
      </c>
      <c r="IH12" t="e">
        <f>AND('Finite pop'!D5,"AAAAAH97nfE=")</f>
        <v>#VALUE!</v>
      </c>
      <c r="II12" t="e">
        <f>AND('Finite pop'!E5,"AAAAAH97nfI=")</f>
        <v>#VALUE!</v>
      </c>
      <c r="IJ12" t="e">
        <f>AND('Finite pop'!F5,"AAAAAH97nfM=")</f>
        <v>#VALUE!</v>
      </c>
      <c r="IK12" t="e">
        <f>AND('Finite pop'!G5,"AAAAAH97nfQ=")</f>
        <v>#VALUE!</v>
      </c>
      <c r="IL12" t="e">
        <f>AND('Finite pop'!H5,"AAAAAH97nfU=")</f>
        <v>#VALUE!</v>
      </c>
      <c r="IM12" t="e">
        <f>AND('Finite pop'!I5,"AAAAAH97nfY=")</f>
        <v>#VALUE!</v>
      </c>
      <c r="IN12" t="e">
        <f>AND('Finite pop'!J5,"AAAAAH97nfc=")</f>
        <v>#VALUE!</v>
      </c>
      <c r="IO12" t="e">
        <f>AND('Finite pop'!K5,"AAAAAH97nfg=")</f>
        <v>#VALUE!</v>
      </c>
      <c r="IP12" t="e">
        <f>AND('Finite pop'!L5,"AAAAAH97nfk=")</f>
        <v>#VALUE!</v>
      </c>
      <c r="IQ12">
        <f>IF('Finite pop'!6:6,"AAAAAH97nfo=",0)</f>
        <v>0</v>
      </c>
      <c r="IR12" t="e">
        <f>AND('Finite pop'!B6,"AAAAAH97nfs=")</f>
        <v>#VALUE!</v>
      </c>
      <c r="IS12" t="e">
        <f>AND('Finite pop'!C6,"AAAAAH97nfw=")</f>
        <v>#VALUE!</v>
      </c>
      <c r="IT12" t="e">
        <f>AND('Finite pop'!D6,"AAAAAH97nf0=")</f>
        <v>#VALUE!</v>
      </c>
      <c r="IU12" t="e">
        <f>AND('Finite pop'!E6,"AAAAAH97nf4=")</f>
        <v>#VALUE!</v>
      </c>
      <c r="IV12" t="e">
        <f>AND('Finite pop'!F6,"AAAAAH97nf8=")</f>
        <v>#VALUE!</v>
      </c>
    </row>
    <row r="13" spans="1:139" ht="15.75">
      <c r="A13" t="e">
        <f>AND('Finite pop'!G6,"AAAAAHb3vQA=")</f>
        <v>#VALUE!</v>
      </c>
      <c r="B13" t="e">
        <f>AND('Finite pop'!H6,"AAAAAHb3vQE=")</f>
        <v>#VALUE!</v>
      </c>
      <c r="C13" t="e">
        <f>AND('Finite pop'!I6,"AAAAAHb3vQI=")</f>
        <v>#VALUE!</v>
      </c>
      <c r="D13" t="e">
        <f>AND('Finite pop'!J6,"AAAAAHb3vQM=")</f>
        <v>#VALUE!</v>
      </c>
      <c r="E13" t="e">
        <f>AND('Finite pop'!K6,"AAAAAHb3vQQ=")</f>
        <v>#VALUE!</v>
      </c>
      <c r="F13" t="e">
        <f>AND('Finite pop'!L6,"AAAAAHb3vQU=")</f>
        <v>#VALUE!</v>
      </c>
      <c r="G13">
        <f>IF('Finite pop'!7:7,"AAAAAHb3vQY=",0)</f>
        <v>0</v>
      </c>
      <c r="H13" t="e">
        <f>AND('Finite pop'!B7,"AAAAAHb3vQc=")</f>
        <v>#VALUE!</v>
      </c>
      <c r="I13" t="e">
        <f>AND('Finite pop'!C7,"AAAAAHb3vQg=")</f>
        <v>#VALUE!</v>
      </c>
      <c r="J13" t="e">
        <f>AND('Finite pop'!D7,"AAAAAHb3vQk=")</f>
        <v>#VALUE!</v>
      </c>
      <c r="K13" t="e">
        <f>AND('Finite pop'!E7,"AAAAAHb3vQo=")</f>
        <v>#VALUE!</v>
      </c>
      <c r="L13" t="e">
        <f>AND('Finite pop'!F7,"AAAAAHb3vQs=")</f>
        <v>#VALUE!</v>
      </c>
      <c r="M13" t="e">
        <f>AND('Finite pop'!G7,"AAAAAHb3vQw=")</f>
        <v>#VALUE!</v>
      </c>
      <c r="N13" t="e">
        <f>AND('Finite pop'!H7,"AAAAAHb3vQ0=")</f>
        <v>#VALUE!</v>
      </c>
      <c r="O13" t="e">
        <f>AND('Finite pop'!I7,"AAAAAHb3vQ4=")</f>
        <v>#VALUE!</v>
      </c>
      <c r="P13" t="e">
        <f>AND('Finite pop'!J7,"AAAAAHb3vQ8=")</f>
        <v>#VALUE!</v>
      </c>
      <c r="Q13" t="e">
        <f>AND('Finite pop'!K7,"AAAAAHb3vRA=")</f>
        <v>#VALUE!</v>
      </c>
      <c r="R13" t="e">
        <f>AND('Finite pop'!L7,"AAAAAHb3vRE=")</f>
        <v>#VALUE!</v>
      </c>
      <c r="S13">
        <f>IF('Finite pop'!8:8,"AAAAAHb3vRI=",0)</f>
        <v>0</v>
      </c>
      <c r="T13" t="e">
        <f>AND('Finite pop'!B8,"AAAAAHb3vRM=")</f>
        <v>#VALUE!</v>
      </c>
      <c r="U13" t="e">
        <f>AND('Finite pop'!C8,"AAAAAHb3vRQ=")</f>
        <v>#VALUE!</v>
      </c>
      <c r="V13" t="e">
        <f>AND('Finite pop'!D8,"AAAAAHb3vRU=")</f>
        <v>#VALUE!</v>
      </c>
      <c r="W13" t="e">
        <f>AND('Finite pop'!E8,"AAAAAHb3vRY=")</f>
        <v>#VALUE!</v>
      </c>
      <c r="X13" t="e">
        <f>AND('Finite pop'!F8,"AAAAAHb3vRc=")</f>
        <v>#VALUE!</v>
      </c>
      <c r="Y13" t="e">
        <f>AND('Finite pop'!G8,"AAAAAHb3vRg=")</f>
        <v>#VALUE!</v>
      </c>
      <c r="Z13" t="e">
        <f>AND('Finite pop'!H8,"AAAAAHb3vRk=")</f>
        <v>#VALUE!</v>
      </c>
      <c r="AA13" t="e">
        <f>AND('Finite pop'!I8,"AAAAAHb3vRo=")</f>
        <v>#VALUE!</v>
      </c>
      <c r="AB13" t="e">
        <f>AND('Finite pop'!J8,"AAAAAHb3vRs=")</f>
        <v>#VALUE!</v>
      </c>
      <c r="AC13" t="e">
        <f>AND('Finite pop'!K8,"AAAAAHb3vRw=")</f>
        <v>#VALUE!</v>
      </c>
      <c r="AD13" t="e">
        <f>AND('Finite pop'!L8,"AAAAAHb3vR0=")</f>
        <v>#VALUE!</v>
      </c>
      <c r="AE13">
        <f>IF('Finite pop'!9:9,"AAAAAHb3vR4=",0)</f>
        <v>0</v>
      </c>
      <c r="AF13" t="e">
        <f>AND('Finite pop'!B9,"AAAAAHb3vR8=")</f>
        <v>#VALUE!</v>
      </c>
      <c r="AG13" t="e">
        <f>AND('Finite pop'!C9,"AAAAAHb3vSA=")</f>
        <v>#VALUE!</v>
      </c>
      <c r="AH13" t="e">
        <f>AND('Finite pop'!D9,"AAAAAHb3vSE=")</f>
        <v>#VALUE!</v>
      </c>
      <c r="AI13" t="e">
        <f>AND('Finite pop'!E9,"AAAAAHb3vSI=")</f>
        <v>#VALUE!</v>
      </c>
      <c r="AJ13" t="e">
        <f>AND('Finite pop'!F9,"AAAAAHb3vSM=")</f>
        <v>#VALUE!</v>
      </c>
      <c r="AK13" t="e">
        <f>AND('Finite pop'!G9,"AAAAAHb3vSQ=")</f>
        <v>#VALUE!</v>
      </c>
      <c r="AL13" t="e">
        <f>AND('Finite pop'!H9,"AAAAAHb3vSU=")</f>
        <v>#VALUE!</v>
      </c>
      <c r="AM13" t="e">
        <f>AND('Finite pop'!I9,"AAAAAHb3vSY=")</f>
        <v>#VALUE!</v>
      </c>
      <c r="AN13" t="e">
        <f>AND('Finite pop'!J9,"AAAAAHb3vSc=")</f>
        <v>#VALUE!</v>
      </c>
      <c r="AO13" t="e">
        <f>AND('Finite pop'!K9,"AAAAAHb3vSg=")</f>
        <v>#VALUE!</v>
      </c>
      <c r="AP13" t="e">
        <f>AND('Finite pop'!L9,"AAAAAHb3vSk=")</f>
        <v>#VALUE!</v>
      </c>
      <c r="AQ13">
        <f>IF('Finite pop'!10:10,"AAAAAHb3vSo=",0)</f>
        <v>0</v>
      </c>
      <c r="AR13" t="e">
        <f>AND('Finite pop'!B10,"AAAAAHb3vSs=")</f>
        <v>#VALUE!</v>
      </c>
      <c r="AS13" t="e">
        <f>AND('Finite pop'!C10,"AAAAAHb3vSw=")</f>
        <v>#VALUE!</v>
      </c>
      <c r="AT13" t="e">
        <f>AND('Finite pop'!D10,"AAAAAHb3vS0=")</f>
        <v>#VALUE!</v>
      </c>
      <c r="AU13" t="e">
        <f>AND('Finite pop'!E10,"AAAAAHb3vS4=")</f>
        <v>#VALUE!</v>
      </c>
      <c r="AV13" t="e">
        <f>AND('Finite pop'!F10,"AAAAAHb3vS8=")</f>
        <v>#VALUE!</v>
      </c>
      <c r="AW13" t="e">
        <f>AND('Finite pop'!G10,"AAAAAHb3vTA=")</f>
        <v>#VALUE!</v>
      </c>
      <c r="AX13" t="e">
        <f>AND('Finite pop'!H10,"AAAAAHb3vTE=")</f>
        <v>#VALUE!</v>
      </c>
      <c r="AY13" t="e">
        <f>AND('Finite pop'!I10,"AAAAAHb3vTI=")</f>
        <v>#VALUE!</v>
      </c>
      <c r="AZ13" t="e">
        <f>AND('Finite pop'!J10,"AAAAAHb3vTM=")</f>
        <v>#VALUE!</v>
      </c>
      <c r="BA13" t="e">
        <f>AND('Finite pop'!K10,"AAAAAHb3vTQ=")</f>
        <v>#VALUE!</v>
      </c>
      <c r="BB13" t="e">
        <f>AND('Finite pop'!L10,"AAAAAHb3vTU=")</f>
        <v>#VALUE!</v>
      </c>
      <c r="BC13">
        <f>IF('Finite pop'!11:11,"AAAAAHb3vTY=",0)</f>
        <v>0</v>
      </c>
      <c r="BD13" t="e">
        <f>AND('Finite pop'!B11,"AAAAAHb3vTc=")</f>
        <v>#VALUE!</v>
      </c>
      <c r="BE13" t="e">
        <f>AND('Finite pop'!C11,"AAAAAHb3vTg=")</f>
        <v>#VALUE!</v>
      </c>
      <c r="BF13" t="e">
        <f>AND('Finite pop'!D11,"AAAAAHb3vTk=")</f>
        <v>#VALUE!</v>
      </c>
      <c r="BG13" t="e">
        <f>AND('Finite pop'!E11,"AAAAAHb3vTo=")</f>
        <v>#VALUE!</v>
      </c>
      <c r="BH13" t="e">
        <f>AND('Finite pop'!F11,"AAAAAHb3vTs=")</f>
        <v>#VALUE!</v>
      </c>
      <c r="BI13" t="e">
        <f>AND('Finite pop'!G11,"AAAAAHb3vTw=")</f>
        <v>#VALUE!</v>
      </c>
      <c r="BJ13" t="e">
        <f>AND('Finite pop'!H11,"AAAAAHb3vT0=")</f>
        <v>#VALUE!</v>
      </c>
      <c r="BK13" t="e">
        <f>AND('Finite pop'!I11,"AAAAAHb3vT4=")</f>
        <v>#VALUE!</v>
      </c>
      <c r="BL13" t="e">
        <f>AND('Finite pop'!J11,"AAAAAHb3vT8=")</f>
        <v>#VALUE!</v>
      </c>
      <c r="BM13" t="e">
        <f>AND('Finite pop'!K11,"AAAAAHb3vUA=")</f>
        <v>#VALUE!</v>
      </c>
      <c r="BN13" t="e">
        <f>AND('Finite pop'!L11,"AAAAAHb3vUE=")</f>
        <v>#VALUE!</v>
      </c>
      <c r="BO13">
        <f>IF('Finite pop'!12:12,"AAAAAHb3vUI=",0)</f>
        <v>0</v>
      </c>
      <c r="BP13" t="e">
        <f>AND('Finite pop'!B12,"AAAAAHb3vUM=")</f>
        <v>#VALUE!</v>
      </c>
      <c r="BQ13" t="e">
        <f>AND('Finite pop'!C12,"AAAAAHb3vUQ=")</f>
        <v>#VALUE!</v>
      </c>
      <c r="BR13" t="e">
        <f>AND('Finite pop'!D12,"AAAAAHb3vUU=")</f>
        <v>#VALUE!</v>
      </c>
      <c r="BS13" t="e">
        <f>AND('Finite pop'!E12,"AAAAAHb3vUY=")</f>
        <v>#VALUE!</v>
      </c>
      <c r="BT13" t="e">
        <f>AND('Finite pop'!F12,"AAAAAHb3vUc=")</f>
        <v>#VALUE!</v>
      </c>
      <c r="BU13" t="e">
        <f>AND('Finite pop'!G12,"AAAAAHb3vUg=")</f>
        <v>#VALUE!</v>
      </c>
      <c r="BV13" t="e">
        <f>AND('Finite pop'!H12,"AAAAAHb3vUk=")</f>
        <v>#VALUE!</v>
      </c>
      <c r="BW13" t="e">
        <f>AND('Finite pop'!I12,"AAAAAHb3vUo=")</f>
        <v>#VALUE!</v>
      </c>
      <c r="BX13" t="e">
        <f>AND('Finite pop'!J12,"AAAAAHb3vUs=")</f>
        <v>#VALUE!</v>
      </c>
      <c r="BY13" t="e">
        <f>AND('Finite pop'!K12,"AAAAAHb3vUw=")</f>
        <v>#VALUE!</v>
      </c>
      <c r="BZ13" t="e">
        <f>AND('Finite pop'!L12,"AAAAAHb3vU0=")</f>
        <v>#VALUE!</v>
      </c>
      <c r="CA13">
        <f>IF('Finite pop'!13:13,"AAAAAHb3vU4=",0)</f>
        <v>0</v>
      </c>
      <c r="CB13" t="e">
        <f>AND('Finite pop'!B13,"AAAAAHb3vU8=")</f>
        <v>#VALUE!</v>
      </c>
      <c r="CC13" t="e">
        <f>AND('Finite pop'!C13,"AAAAAHb3vVA=")</f>
        <v>#VALUE!</v>
      </c>
      <c r="CD13" t="e">
        <f>AND('Finite pop'!D13,"AAAAAHb3vVE=")</f>
        <v>#VALUE!</v>
      </c>
      <c r="CE13" t="e">
        <f>AND('Finite pop'!E13,"AAAAAHb3vVI=")</f>
        <v>#VALUE!</v>
      </c>
      <c r="CF13" t="e">
        <f>AND('Finite pop'!F13,"AAAAAHb3vVM=")</f>
        <v>#VALUE!</v>
      </c>
      <c r="CG13" t="e">
        <f>AND('Finite pop'!G13,"AAAAAHb3vVQ=")</f>
        <v>#VALUE!</v>
      </c>
      <c r="CH13" t="e">
        <f>AND('Finite pop'!H13,"AAAAAHb3vVU=")</f>
        <v>#VALUE!</v>
      </c>
      <c r="CI13" t="e">
        <f>AND('Finite pop'!I13,"AAAAAHb3vVY=")</f>
        <v>#VALUE!</v>
      </c>
      <c r="CJ13" t="e">
        <f>AND('Finite pop'!J13,"AAAAAHb3vVc=")</f>
        <v>#VALUE!</v>
      </c>
      <c r="CK13" t="e">
        <f>AND('Finite pop'!K13,"AAAAAHb3vVg=")</f>
        <v>#VALUE!</v>
      </c>
      <c r="CL13" t="e">
        <f>AND('Finite pop'!L13,"AAAAAHb3vVk=")</f>
        <v>#VALUE!</v>
      </c>
      <c r="CM13">
        <f>IF('Finite pop'!14:14,"AAAAAHb3vVo=",0)</f>
        <v>0</v>
      </c>
      <c r="CN13" t="e">
        <f>AND('Finite pop'!B14,"AAAAAHb3vVs=")</f>
        <v>#VALUE!</v>
      </c>
      <c r="CO13" t="e">
        <f>AND('Finite pop'!C14,"AAAAAHb3vVw=")</f>
        <v>#VALUE!</v>
      </c>
      <c r="CP13" t="e">
        <f>AND('Finite pop'!D14,"AAAAAHb3vV0=")</f>
        <v>#VALUE!</v>
      </c>
      <c r="CQ13" t="e">
        <f>AND('Finite pop'!E14,"AAAAAHb3vV4=")</f>
        <v>#VALUE!</v>
      </c>
      <c r="CR13" t="e">
        <f>AND('Finite pop'!F14,"AAAAAHb3vV8=")</f>
        <v>#VALUE!</v>
      </c>
      <c r="CS13" t="e">
        <f>AND('Finite pop'!G14,"AAAAAHb3vWA=")</f>
        <v>#VALUE!</v>
      </c>
      <c r="CT13" t="e">
        <f>AND('Finite pop'!H14,"AAAAAHb3vWE=")</f>
        <v>#VALUE!</v>
      </c>
      <c r="CU13" t="e">
        <f>AND('Finite pop'!I14,"AAAAAHb3vWI=")</f>
        <v>#VALUE!</v>
      </c>
      <c r="CV13" t="e">
        <f>AND('Finite pop'!J14,"AAAAAHb3vWM=")</f>
        <v>#VALUE!</v>
      </c>
      <c r="CW13" t="e">
        <f>AND('Finite pop'!K14,"AAAAAHb3vWQ=")</f>
        <v>#VALUE!</v>
      </c>
      <c r="CX13" t="e">
        <f>AND('Finite pop'!L14,"AAAAAHb3vWU=")</f>
        <v>#VALUE!</v>
      </c>
      <c r="CY13">
        <f>IF('Finite pop'!15:15,"AAAAAHb3vWY=",0)</f>
        <v>0</v>
      </c>
      <c r="CZ13" t="e">
        <f>AND('Finite pop'!B15,"AAAAAHb3vWc=")</f>
        <v>#VALUE!</v>
      </c>
      <c r="DA13" t="e">
        <f>AND('Finite pop'!C15,"AAAAAHb3vWg=")</f>
        <v>#VALUE!</v>
      </c>
      <c r="DB13" t="e">
        <f>AND('Finite pop'!D15,"AAAAAHb3vWk=")</f>
        <v>#VALUE!</v>
      </c>
      <c r="DC13" t="e">
        <f>AND('Finite pop'!E15,"AAAAAHb3vWo=")</f>
        <v>#VALUE!</v>
      </c>
      <c r="DD13" t="e">
        <f>AND('Finite pop'!F15,"AAAAAHb3vWs=")</f>
        <v>#VALUE!</v>
      </c>
      <c r="DE13" t="e">
        <f>AND('Finite pop'!G15,"AAAAAHb3vWw=")</f>
        <v>#VALUE!</v>
      </c>
      <c r="DF13" t="e">
        <f>AND('Finite pop'!H15,"AAAAAHb3vW0=")</f>
        <v>#VALUE!</v>
      </c>
      <c r="DG13" t="e">
        <f>AND('Finite pop'!I15,"AAAAAHb3vW4=")</f>
        <v>#VALUE!</v>
      </c>
      <c r="DH13" t="e">
        <f>AND('Finite pop'!J15,"AAAAAHb3vW8=")</f>
        <v>#VALUE!</v>
      </c>
      <c r="DI13" t="e">
        <f>AND('Finite pop'!K15,"AAAAAHb3vXA=")</f>
        <v>#VALUE!</v>
      </c>
      <c r="DJ13" t="e">
        <f>AND('Finite pop'!L15,"AAAAAHb3vXE=")</f>
        <v>#VALUE!</v>
      </c>
      <c r="DK13">
        <f>IF('Finite pop'!16:16,"AAAAAHb3vXI=",0)</f>
        <v>0</v>
      </c>
      <c r="DL13" t="e">
        <f>AND('Finite pop'!B16,"AAAAAHb3vXM=")</f>
        <v>#VALUE!</v>
      </c>
      <c r="DM13" t="e">
        <f>AND('Finite pop'!C16,"AAAAAHb3vXQ=")</f>
        <v>#VALUE!</v>
      </c>
      <c r="DN13" t="e">
        <f>AND('Finite pop'!D16,"AAAAAHb3vXU=")</f>
        <v>#VALUE!</v>
      </c>
      <c r="DO13" t="e">
        <f>AND('Finite pop'!E16,"AAAAAHb3vXY=")</f>
        <v>#VALUE!</v>
      </c>
      <c r="DP13" t="e">
        <f>AND('Finite pop'!F16,"AAAAAHb3vXc=")</f>
        <v>#VALUE!</v>
      </c>
      <c r="DQ13" t="e">
        <f>AND('Finite pop'!G16,"AAAAAHb3vXg=")</f>
        <v>#VALUE!</v>
      </c>
      <c r="DR13" t="e">
        <f>AND('Finite pop'!H16,"AAAAAHb3vXk=")</f>
        <v>#VALUE!</v>
      </c>
      <c r="DS13" t="e">
        <f>AND('Finite pop'!I16,"AAAAAHb3vXo=")</f>
        <v>#VALUE!</v>
      </c>
      <c r="DT13" t="e">
        <f>AND('Finite pop'!J16,"AAAAAHb3vXs=")</f>
        <v>#VALUE!</v>
      </c>
      <c r="DU13" t="e">
        <f>AND('Finite pop'!K16,"AAAAAHb3vXw=")</f>
        <v>#VALUE!</v>
      </c>
      <c r="DV13" t="e">
        <f>AND('Finite pop'!L16,"AAAAAHb3vX0=")</f>
        <v>#VALUE!</v>
      </c>
      <c r="DW13">
        <f>IF('Finite pop'!17:17,"AAAAAHb3vX4=",0)</f>
        <v>0</v>
      </c>
      <c r="DX13">
        <f>IF('Finite pop'!A:A,"AAAAAHb3vX8=",0)</f>
        <v>0</v>
      </c>
      <c r="DY13">
        <f>IF('Finite pop'!B:B,"AAAAAHb3vYA=",0)</f>
        <v>0</v>
      </c>
      <c r="DZ13" t="str">
        <f>IF('Finite pop'!C:C,"AAAAAHb3vYE=",0)</f>
        <v>AAAAAHb3vYE=</v>
      </c>
      <c r="EA13" t="str">
        <f>IF('Finite pop'!D:D,"AAAAAHb3vYI=",0)</f>
        <v>AAAAAHb3vYI=</v>
      </c>
      <c r="EB13" t="str">
        <f>IF('Finite pop'!E:E,"AAAAAHb3vYM=",0)</f>
        <v>AAAAAHb3vYM=</v>
      </c>
      <c r="EC13" t="str">
        <f>IF('Finite pop'!F:F,"AAAAAHb3vYQ=",0)</f>
        <v>AAAAAHb3vYQ=</v>
      </c>
      <c r="ED13">
        <f>IF('Finite pop'!G:G,"AAAAAHb3vYU=",0)</f>
        <v>0</v>
      </c>
      <c r="EE13">
        <f>IF('Finite pop'!H:H,"AAAAAHb3vYY=",0)</f>
        <v>0</v>
      </c>
      <c r="EF13">
        <f>IF('Finite pop'!I:I,"AAAAAHb3vYc=",0)</f>
        <v>0</v>
      </c>
      <c r="EG13">
        <f>IF('Finite pop'!J:J,"AAAAAHb3vYg=",0)</f>
        <v>0</v>
      </c>
      <c r="EH13">
        <f>IF('Finite pop'!K:K,"AAAAAHb3vYk=",0)</f>
        <v>0</v>
      </c>
      <c r="EI13">
        <f>IF('Finite pop'!L:L,"AAAAAHb3vYo=",0)</f>
        <v>0</v>
      </c>
    </row>
    <row r="14" spans="1:30" ht="15.75">
      <c r="A14" t="e">
        <f>AND(Zr!I1,"AAAAAHn6fwA=")</f>
        <v>#VALUE!</v>
      </c>
      <c r="B14" t="e">
        <f>AND(Zr!J1,"AAAAAHn6fwE=")</f>
        <v>#VALUE!</v>
      </c>
      <c r="C14" t="e">
        <f>AND(Zr!I2,"AAAAAHn6fwI=")</f>
        <v>#VALUE!</v>
      </c>
      <c r="D14" t="e">
        <f>AND(Zr!J2,"AAAAAHn6fwM=")</f>
        <v>#VALUE!</v>
      </c>
      <c r="E14" t="e">
        <f>AND(Zr!I3,"AAAAAHn6fwQ=")</f>
        <v>#VALUE!</v>
      </c>
      <c r="F14" t="e">
        <f>AND(Zr!J3,"AAAAAHn6fwU=")</f>
        <v>#VALUE!</v>
      </c>
      <c r="G14" t="e">
        <f>AND(Zr!I4,"AAAAAHn6fwY=")</f>
        <v>#VALUE!</v>
      </c>
      <c r="H14" t="e">
        <f>AND(Zr!J4,"AAAAAHn6fwc=")</f>
        <v>#VALUE!</v>
      </c>
      <c r="I14" t="e">
        <f>AND(Zr!I5,"AAAAAHn6fwg=")</f>
        <v>#VALUE!</v>
      </c>
      <c r="J14" t="e">
        <f>AND(Zr!J5,"AAAAAHn6fwk=")</f>
        <v>#VALUE!</v>
      </c>
      <c r="K14" t="e">
        <f>AND(Zr!I6,"AAAAAHn6fwo=")</f>
        <v>#VALUE!</v>
      </c>
      <c r="L14" t="e">
        <f>AND(Zr!J6,"AAAAAHn6fws=")</f>
        <v>#VALUE!</v>
      </c>
      <c r="M14" t="e">
        <f>AND(Zr!I7,"AAAAAHn6fww=")</f>
        <v>#VALUE!</v>
      </c>
      <c r="N14" t="e">
        <f>AND(Zr!J7,"AAAAAHn6fw0=")</f>
        <v>#VALUE!</v>
      </c>
      <c r="O14" t="e">
        <f>AND(Zr!I8,"AAAAAHn6fw4=")</f>
        <v>#VALUE!</v>
      </c>
      <c r="P14" t="e">
        <f>AND(Zr!J8,"AAAAAHn6fw8=")</f>
        <v>#VALUE!</v>
      </c>
      <c r="Q14" t="e">
        <f>AND(Zr!I9,"AAAAAHn6fxA=")</f>
        <v>#VALUE!</v>
      </c>
      <c r="R14" t="e">
        <f>AND(Zr!J9,"AAAAAHn6fxE=")</f>
        <v>#VALUE!</v>
      </c>
      <c r="S14" t="e">
        <f>AND(Zr!I10,"AAAAAHn6fxI=")</f>
        <v>#VALUE!</v>
      </c>
      <c r="T14" t="e">
        <f>AND(Zr!J10,"AAAAAHn6fxM=")</f>
        <v>#VALUE!</v>
      </c>
      <c r="U14" t="e">
        <f>AND(Zr!I11,"AAAAAHn6fxQ=")</f>
        <v>#VALUE!</v>
      </c>
      <c r="V14" t="e">
        <f>AND(Zr!J11,"AAAAAHn6fxU=")</f>
        <v>#VALUE!</v>
      </c>
      <c r="W14" t="e">
        <f>AND(Zr!I12,"AAAAAHn6fxY=")</f>
        <v>#VALUE!</v>
      </c>
      <c r="X14" t="e">
        <f>AND(Zr!J12,"AAAAAHn6fxc=")</f>
        <v>#VALUE!</v>
      </c>
      <c r="Y14" t="e">
        <f>AND(Zr!I13,"AAAAAHn6fxg=")</f>
        <v>#VALUE!</v>
      </c>
      <c r="Z14" t="e">
        <f>AND(Zr!J13,"AAAAAHn6fxk=")</f>
        <v>#VALUE!</v>
      </c>
      <c r="AA14" t="e">
        <f>AND(Zr!I14,"AAAAAHn6fxo=")</f>
        <v>#VALUE!</v>
      </c>
      <c r="AB14" t="e">
        <f>AND(Zr!J14,"AAAAAHn6fxs=")</f>
        <v>#VALUE!</v>
      </c>
      <c r="AC14">
        <f>IF(Zr!I:I,"AAAAAHn6fxw=",0)</f>
        <v>0</v>
      </c>
      <c r="AD14">
        <f>IF(Zr!J:J,"AAAAAHn6fx0=",0)</f>
        <v>0</v>
      </c>
    </row>
  </sheetData>
  <sheetProtection/>
  <printOptions/>
  <pageMargins left="0.7" right="0.7" top="0.75" bottom="0.75" header="0.3" footer="0.3"/>
  <pageSetup orientation="portrait" paperSize="9"/>
  <customProperties>
    <customPr name="DVSECTIONID" r:id="rId1"/>
  </customProperties>
</worksheet>
</file>

<file path=xl/worksheets/sheet2.xml><?xml version="1.0" encoding="utf-8"?>
<worksheet xmlns="http://schemas.openxmlformats.org/spreadsheetml/2006/main" xmlns:r="http://schemas.openxmlformats.org/officeDocument/2006/relationships">
  <sheetPr codeName="Sheet13"/>
  <dimension ref="B4:I18"/>
  <sheetViews>
    <sheetView showRowColHeaders="0" zoomScalePageLayoutView="0" workbookViewId="0" topLeftCell="A1">
      <selection activeCell="I18" sqref="I18"/>
    </sheetView>
  </sheetViews>
  <sheetFormatPr defaultColWidth="9.00390625" defaultRowHeight="15.75"/>
  <cols>
    <col min="1" max="1" width="9.00390625" style="29" customWidth="1"/>
    <col min="2" max="2" width="4.25390625" style="29" customWidth="1"/>
    <col min="3" max="16384" width="9.00390625" style="29" customWidth="1"/>
  </cols>
  <sheetData>
    <row r="3" ht="16.5" thickBot="1"/>
    <row r="4" spans="2:9" ht="15.75">
      <c r="B4" s="17"/>
      <c r="C4" s="18"/>
      <c r="D4" s="18"/>
      <c r="E4" s="18"/>
      <c r="F4" s="18"/>
      <c r="G4" s="18"/>
      <c r="H4" s="18"/>
      <c r="I4" s="19"/>
    </row>
    <row r="5" spans="2:9" ht="15.75">
      <c r="B5" s="20"/>
      <c r="C5" s="10" t="s">
        <v>52</v>
      </c>
      <c r="D5" s="10"/>
      <c r="E5" s="10"/>
      <c r="F5" s="10"/>
      <c r="G5" s="10"/>
      <c r="H5" s="10"/>
      <c r="I5" s="8"/>
    </row>
    <row r="6" spans="2:9" ht="15.75">
      <c r="B6" s="20"/>
      <c r="C6" s="10" t="s">
        <v>49</v>
      </c>
      <c r="D6" s="10"/>
      <c r="E6" s="10"/>
      <c r="F6" s="10"/>
      <c r="G6" s="10"/>
      <c r="H6" s="10"/>
      <c r="I6" s="8"/>
    </row>
    <row r="7" spans="2:9" ht="15.75">
      <c r="B7" s="20"/>
      <c r="C7" s="10"/>
      <c r="D7" s="10"/>
      <c r="E7" s="10"/>
      <c r="F7" s="10"/>
      <c r="G7" s="10"/>
      <c r="H7" s="10"/>
      <c r="I7" s="8"/>
    </row>
    <row r="8" spans="2:9" ht="15.75">
      <c r="B8" s="20"/>
      <c r="C8" s="147" t="s">
        <v>108</v>
      </c>
      <c r="D8" s="10"/>
      <c r="E8" s="10"/>
      <c r="F8" s="10"/>
      <c r="G8" s="10"/>
      <c r="H8" s="10"/>
      <c r="I8" s="8"/>
    </row>
    <row r="9" spans="2:9" ht="15.75">
      <c r="B9" s="20"/>
      <c r="C9" s="28" t="s">
        <v>109</v>
      </c>
      <c r="D9" s="10"/>
      <c r="E9" s="10"/>
      <c r="F9" s="10"/>
      <c r="G9" s="10"/>
      <c r="H9" s="10"/>
      <c r="I9" s="8"/>
    </row>
    <row r="10" spans="2:9" ht="15.75">
      <c r="B10" s="20"/>
      <c r="C10" s="10"/>
      <c r="D10" s="10"/>
      <c r="E10" s="10"/>
      <c r="F10" s="10"/>
      <c r="G10" s="10"/>
      <c r="H10" s="10"/>
      <c r="I10" s="8"/>
    </row>
    <row r="11" spans="2:9" ht="15.75">
      <c r="B11" s="20"/>
      <c r="C11" s="10" t="s">
        <v>44</v>
      </c>
      <c r="D11" s="10"/>
      <c r="E11" s="10"/>
      <c r="F11" s="10"/>
      <c r="G11" s="10"/>
      <c r="H11" s="10"/>
      <c r="I11" s="8"/>
    </row>
    <row r="12" spans="2:9" ht="15.75">
      <c r="B12" s="20"/>
      <c r="C12" s="10" t="s">
        <v>45</v>
      </c>
      <c r="D12" s="10"/>
      <c r="E12" s="10"/>
      <c r="F12" s="10"/>
      <c r="G12" s="10"/>
      <c r="H12" s="10"/>
      <c r="I12" s="8"/>
    </row>
    <row r="13" spans="2:9" ht="15.75">
      <c r="B13" s="20"/>
      <c r="C13" s="10" t="s">
        <v>46</v>
      </c>
      <c r="D13" s="10"/>
      <c r="E13" s="10"/>
      <c r="F13" s="10"/>
      <c r="G13" s="10"/>
      <c r="H13" s="10"/>
      <c r="I13" s="8"/>
    </row>
    <row r="14" spans="2:9" ht="15.75">
      <c r="B14" s="20"/>
      <c r="C14" s="10" t="s">
        <v>47</v>
      </c>
      <c r="D14" s="10"/>
      <c r="E14" s="10"/>
      <c r="F14" s="10"/>
      <c r="G14" s="10"/>
      <c r="H14" s="10"/>
      <c r="I14" s="8"/>
    </row>
    <row r="15" spans="2:9" ht="15.75">
      <c r="B15" s="20"/>
      <c r="C15" s="10" t="s">
        <v>48</v>
      </c>
      <c r="D15" s="10"/>
      <c r="E15" s="10"/>
      <c r="F15" s="10"/>
      <c r="G15" s="10"/>
      <c r="H15" s="10"/>
      <c r="I15" s="8"/>
    </row>
    <row r="16" spans="2:9" ht="16.5" thickBot="1">
      <c r="B16" s="21"/>
      <c r="C16" s="22"/>
      <c r="D16" s="22"/>
      <c r="E16" s="22"/>
      <c r="F16" s="22"/>
      <c r="G16" s="22"/>
      <c r="H16" s="22"/>
      <c r="I16" s="23"/>
    </row>
    <row r="18" ht="15.75">
      <c r="E18" s="30"/>
    </row>
  </sheetData>
  <sheetProtection password="EE24" sheet="1" objects="1" scenarios="1"/>
  <printOptions/>
  <pageMargins left="0.75" right="0.75" top="1" bottom="1" header="0.5" footer="0.5"/>
  <pageSetup horizontalDpi="300" verticalDpi="300" orientation="portrait" r:id="rId2"/>
  <customProperties>
    <customPr name="DVSECTIONID" r:id="rId3"/>
  </customProperties>
  <legacyDrawing r:id="rId1"/>
</worksheet>
</file>

<file path=xl/worksheets/sheet3.xml><?xml version="1.0" encoding="utf-8"?>
<worksheet xmlns="http://schemas.openxmlformats.org/spreadsheetml/2006/main" xmlns:r="http://schemas.openxmlformats.org/officeDocument/2006/relationships">
  <sheetPr codeName="Sheet1"/>
  <dimension ref="B2:G25"/>
  <sheetViews>
    <sheetView showGridLines="0" showRowColHeaders="0" zoomScalePageLayoutView="0" workbookViewId="0" topLeftCell="A1">
      <selection activeCell="D16" sqref="D16"/>
    </sheetView>
  </sheetViews>
  <sheetFormatPr defaultColWidth="9.00390625" defaultRowHeight="15.75"/>
  <cols>
    <col min="1" max="1" width="6.25390625" style="29" customWidth="1"/>
    <col min="2" max="2" width="10.625" style="29" customWidth="1"/>
    <col min="3" max="3" width="9.00390625" style="29" customWidth="1"/>
    <col min="4" max="4" width="9.75390625" style="29" customWidth="1"/>
    <col min="5" max="5" width="9.25390625" style="29" customWidth="1"/>
    <col min="6" max="16384" width="9.00390625" style="29" customWidth="1"/>
  </cols>
  <sheetData>
    <row r="1" ht="15.75"/>
    <row r="2" ht="34.5">
      <c r="C2" s="151" t="s">
        <v>59</v>
      </c>
    </row>
    <row r="3" spans="3:7" ht="15.75" customHeight="1" thickBot="1">
      <c r="C3" s="41"/>
      <c r="E3" s="41"/>
      <c r="F3" s="42"/>
      <c r="G3" s="42"/>
    </row>
    <row r="4" spans="2:7" ht="12" customHeight="1">
      <c r="B4" s="47"/>
      <c r="C4" s="48"/>
      <c r="D4" s="40"/>
      <c r="E4" s="49"/>
      <c r="G4" s="42"/>
    </row>
    <row r="5" spans="2:7" ht="15.75" customHeight="1">
      <c r="B5" s="246" t="s">
        <v>146</v>
      </c>
      <c r="C5" s="247"/>
      <c r="D5" s="247"/>
      <c r="E5" s="248"/>
      <c r="G5" s="42"/>
    </row>
    <row r="6" spans="2:6" ht="10.5" customHeight="1" thickBot="1">
      <c r="B6" s="249"/>
      <c r="C6" s="250"/>
      <c r="D6" s="250"/>
      <c r="E6" s="251"/>
      <c r="F6" s="42"/>
    </row>
    <row r="7" spans="2:6" ht="19.5" thickBot="1">
      <c r="B7" s="252" t="s">
        <v>60</v>
      </c>
      <c r="C7" s="253" t="s">
        <v>145</v>
      </c>
      <c r="D7" s="254">
        <v>2</v>
      </c>
      <c r="E7" s="251"/>
      <c r="F7" s="42"/>
    </row>
    <row r="8" spans="2:6" ht="12" customHeight="1" thickBot="1">
      <c r="B8" s="249"/>
      <c r="C8" s="253"/>
      <c r="D8" s="255"/>
      <c r="E8" s="251"/>
      <c r="F8" s="42"/>
    </row>
    <row r="9" spans="2:6" ht="20.25">
      <c r="B9" s="252" t="s">
        <v>51</v>
      </c>
      <c r="C9" s="256" t="s">
        <v>147</v>
      </c>
      <c r="D9" s="257">
        <f>IF(D7&lt;0,2*NORMSDIST(D7),2*(1-NORMSDIST(D7)))</f>
        <v>0.04550026389635864</v>
      </c>
      <c r="E9" s="251"/>
      <c r="F9" s="42"/>
    </row>
    <row r="10" spans="2:6" ht="21" thickBot="1">
      <c r="B10" s="252"/>
      <c r="C10" s="256" t="s">
        <v>148</v>
      </c>
      <c r="D10" s="258">
        <f>1-NORMSDIST(D7)</f>
        <v>0.02275013194817932</v>
      </c>
      <c r="E10" s="251"/>
      <c r="F10" s="42"/>
    </row>
    <row r="11" spans="2:6" ht="19.5" thickBot="1">
      <c r="B11" s="259"/>
      <c r="C11" s="260"/>
      <c r="D11" s="260"/>
      <c r="E11" s="261"/>
      <c r="F11" s="42"/>
    </row>
    <row r="12" ht="17.25" customHeight="1" thickBot="1">
      <c r="F12" s="42"/>
    </row>
    <row r="13" spans="2:6" ht="12" customHeight="1">
      <c r="B13" s="63"/>
      <c r="C13" s="64"/>
      <c r="D13" s="64"/>
      <c r="E13" s="65"/>
      <c r="F13" s="42"/>
    </row>
    <row r="14" spans="2:7" ht="19.5">
      <c r="B14" s="246" t="s">
        <v>149</v>
      </c>
      <c r="C14" s="247"/>
      <c r="D14" s="247"/>
      <c r="E14" s="67"/>
      <c r="G14" s="42"/>
    </row>
    <row r="15" spans="2:7" ht="19.5" thickBot="1">
      <c r="B15" s="249"/>
      <c r="C15" s="250"/>
      <c r="D15" s="250"/>
      <c r="E15" s="54"/>
      <c r="G15" s="42"/>
    </row>
    <row r="16" spans="2:6" ht="27" thickBot="1">
      <c r="B16" s="252" t="s">
        <v>60</v>
      </c>
      <c r="C16" s="58" t="s">
        <v>152</v>
      </c>
      <c r="D16" s="262">
        <v>0.017</v>
      </c>
      <c r="E16" s="54"/>
      <c r="F16" s="148">
        <f>IF(D16&lt;=0,"  p must be greater than zero.",(IF(D16&gt;=1,"  p must be less than 1.","")))</f>
      </c>
    </row>
    <row r="17" spans="2:7" ht="19.5" thickBot="1">
      <c r="B17" s="249"/>
      <c r="C17" s="253"/>
      <c r="D17" s="255"/>
      <c r="E17" s="54"/>
      <c r="G17" s="42"/>
    </row>
    <row r="18" spans="2:7" ht="20.25">
      <c r="B18" s="252" t="s">
        <v>51</v>
      </c>
      <c r="C18" s="253" t="s">
        <v>150</v>
      </c>
      <c r="D18" s="263">
        <f>IF(D16&gt;0.5,-NORMSINV(D16/2),NORMSINV(1-D16/2))</f>
        <v>2.3867077344922505</v>
      </c>
      <c r="E18" s="54"/>
      <c r="G18" s="42"/>
    </row>
    <row r="19" spans="2:7" ht="21" thickBot="1">
      <c r="B19" s="232"/>
      <c r="C19" s="253" t="s">
        <v>151</v>
      </c>
      <c r="D19" s="264">
        <f>-NORMSINV(D16)</f>
        <v>2.120071689742156</v>
      </c>
      <c r="E19" s="54"/>
      <c r="G19" s="42"/>
    </row>
    <row r="20" spans="2:7" ht="16.5" thickBot="1">
      <c r="B20" s="68"/>
      <c r="C20" s="69"/>
      <c r="D20" s="39"/>
      <c r="E20" s="61"/>
      <c r="G20" s="42"/>
    </row>
    <row r="21" ht="15.75">
      <c r="G21" s="42"/>
    </row>
    <row r="22" ht="15.75">
      <c r="G22" s="42"/>
    </row>
    <row r="23" ht="15.75">
      <c r="G23" s="42"/>
    </row>
    <row r="24" ht="15.75">
      <c r="G24" s="42"/>
    </row>
    <row r="25" spans="3:7" ht="15.75">
      <c r="C25" s="45"/>
      <c r="D25" s="44"/>
      <c r="E25" s="46"/>
      <c r="F25" s="43"/>
      <c r="G25" s="42"/>
    </row>
  </sheetData>
  <sheetProtection password="CCD8" sheet="1" objects="1" scenarios="1" selectLockedCells="1"/>
  <printOptions/>
  <pageMargins left="0.75" right="0.75" top="1" bottom="1" header="0.5" footer="0.5"/>
  <pageSetup horizontalDpi="600" verticalDpi="600" orientation="portrait" r:id="rId3"/>
  <customProperties>
    <customPr name="DVSECTIONID" r:id="rId4"/>
  </customProperties>
  <legacyDrawing r:id="rId2"/>
</worksheet>
</file>

<file path=xl/worksheets/sheet4.xml><?xml version="1.0" encoding="utf-8"?>
<worksheet xmlns="http://schemas.openxmlformats.org/spreadsheetml/2006/main" xmlns:r="http://schemas.openxmlformats.org/officeDocument/2006/relationships">
  <sheetPr codeName="Sheet2"/>
  <dimension ref="B3:G27"/>
  <sheetViews>
    <sheetView showGridLines="0" showRowColHeaders="0" zoomScalePageLayoutView="0" workbookViewId="0" topLeftCell="A1">
      <selection activeCell="D9" sqref="D9"/>
    </sheetView>
  </sheetViews>
  <sheetFormatPr defaultColWidth="9.00390625" defaultRowHeight="15.75"/>
  <cols>
    <col min="1" max="1" width="4.625" style="29" customWidth="1"/>
    <col min="2" max="3" width="9.00390625" style="29" customWidth="1"/>
    <col min="4" max="4" width="12.00390625" style="29" customWidth="1"/>
    <col min="5" max="5" width="9.25390625" style="29" customWidth="1"/>
    <col min="6" max="16384" width="9.00390625" style="29" customWidth="1"/>
  </cols>
  <sheetData>
    <row r="1" ht="15.75"/>
    <row r="2" ht="11.25" customHeight="1"/>
    <row r="3" spans="3:7" ht="34.5">
      <c r="C3" s="152" t="s">
        <v>111</v>
      </c>
      <c r="D3" s="41"/>
      <c r="E3" s="41"/>
      <c r="F3" s="42"/>
      <c r="G3" s="42"/>
    </row>
    <row r="4" ht="11.25" customHeight="1">
      <c r="G4" s="42"/>
    </row>
    <row r="5" ht="9.75" customHeight="1" thickBot="1">
      <c r="G5" s="42"/>
    </row>
    <row r="6" spans="2:7" ht="10.5" customHeight="1">
      <c r="B6" s="47"/>
      <c r="C6" s="48"/>
      <c r="D6" s="40"/>
      <c r="E6" s="49"/>
      <c r="F6" s="42"/>
      <c r="G6" s="42"/>
    </row>
    <row r="7" spans="2:7" ht="15" customHeight="1">
      <c r="B7" s="50" t="s">
        <v>57</v>
      </c>
      <c r="C7" s="51"/>
      <c r="D7" s="51"/>
      <c r="E7" s="52"/>
      <c r="F7" s="42"/>
      <c r="G7" s="42"/>
    </row>
    <row r="8" spans="2:7" ht="12" customHeight="1" thickBot="1">
      <c r="B8" s="53"/>
      <c r="C8" s="7"/>
      <c r="D8" s="7"/>
      <c r="E8" s="54"/>
      <c r="F8" s="42"/>
      <c r="G8" s="42"/>
    </row>
    <row r="9" spans="2:7" ht="15.75">
      <c r="B9" s="55" t="s">
        <v>60</v>
      </c>
      <c r="C9" s="58" t="s">
        <v>4</v>
      </c>
      <c r="D9" s="37">
        <v>3</v>
      </c>
      <c r="E9" s="54"/>
      <c r="F9" s="42"/>
      <c r="G9" s="42"/>
    </row>
    <row r="10" spans="2:7" ht="20.25" customHeight="1" thickBot="1">
      <c r="B10" s="53"/>
      <c r="C10" s="57" t="s">
        <v>3</v>
      </c>
      <c r="D10" s="13">
        <v>2</v>
      </c>
      <c r="E10" s="54"/>
      <c r="F10" s="42"/>
      <c r="G10" s="42"/>
    </row>
    <row r="11" spans="2:7" ht="16.5" thickBot="1">
      <c r="B11" s="53"/>
      <c r="C11" s="57"/>
      <c r="D11" s="62"/>
      <c r="E11" s="54"/>
      <c r="F11" s="42"/>
      <c r="G11" s="43"/>
    </row>
    <row r="12" spans="2:7" ht="18.75">
      <c r="B12" s="55" t="s">
        <v>51</v>
      </c>
      <c r="C12" s="58" t="s">
        <v>53</v>
      </c>
      <c r="D12" s="15">
        <f>TDIST(ABS(D9),D10,2)</f>
        <v>0.09546596625430909</v>
      </c>
      <c r="E12" s="54"/>
      <c r="F12" s="42"/>
      <c r="G12" s="42"/>
    </row>
    <row r="13" spans="2:7" ht="19.5" customHeight="1" thickBot="1">
      <c r="B13" s="55"/>
      <c r="C13" s="58" t="s">
        <v>54</v>
      </c>
      <c r="D13" s="38">
        <f>IF(D9&lt;0,(1-TDIST(ABS(D9),D10,1)),TDIST(D9,D10,1))</f>
        <v>0.047732983127154544</v>
      </c>
      <c r="E13" s="54"/>
      <c r="F13" s="42"/>
      <c r="G13" s="42"/>
    </row>
    <row r="14" spans="2:7" ht="16.5" thickBot="1">
      <c r="B14" s="59"/>
      <c r="C14" s="60"/>
      <c r="D14" s="60"/>
      <c r="E14" s="61"/>
      <c r="F14" s="42"/>
      <c r="G14" s="42"/>
    </row>
    <row r="15" ht="10.5" customHeight="1">
      <c r="G15" s="42"/>
    </row>
    <row r="16" ht="15.75">
      <c r="G16" s="42"/>
    </row>
    <row r="17" ht="7.5" customHeight="1" thickBot="1"/>
    <row r="18" spans="2:7" ht="19.5">
      <c r="B18" s="63"/>
      <c r="C18" s="64"/>
      <c r="D18" s="64"/>
      <c r="E18" s="65"/>
      <c r="G18" s="42"/>
    </row>
    <row r="19" spans="2:7" ht="15.75">
      <c r="B19" s="50" t="s">
        <v>58</v>
      </c>
      <c r="C19" s="66"/>
      <c r="D19" s="66"/>
      <c r="E19" s="67"/>
      <c r="G19" s="42"/>
    </row>
    <row r="20" spans="2:7" ht="12" customHeight="1" thickBot="1">
      <c r="B20" s="53"/>
      <c r="C20" s="7"/>
      <c r="D20" s="7"/>
      <c r="E20" s="54"/>
      <c r="G20" s="42"/>
    </row>
    <row r="21" spans="2:7" ht="26.25">
      <c r="B21" s="55" t="s">
        <v>60</v>
      </c>
      <c r="C21" s="266" t="s">
        <v>2</v>
      </c>
      <c r="D21" s="12">
        <v>0.2</v>
      </c>
      <c r="E21" s="54"/>
      <c r="F21" s="148">
        <f>IF(D21&lt;=0,"  p must be greater than zero.",(IF(D21&gt;=1,"  p must be less than 1.","")))</f>
      </c>
      <c r="G21" s="42"/>
    </row>
    <row r="22" spans="2:7" ht="16.5" thickBot="1">
      <c r="B22" s="53"/>
      <c r="C22" s="57" t="s">
        <v>3</v>
      </c>
      <c r="D22" s="13">
        <v>2</v>
      </c>
      <c r="E22" s="54"/>
      <c r="G22" s="42"/>
    </row>
    <row r="23" spans="2:7" ht="16.5" thickBot="1">
      <c r="B23" s="53"/>
      <c r="C23" s="57"/>
      <c r="D23" s="62"/>
      <c r="E23" s="54"/>
      <c r="G23" s="42"/>
    </row>
    <row r="24" spans="2:7" ht="18.75">
      <c r="B24" s="55" t="s">
        <v>51</v>
      </c>
      <c r="C24" s="58" t="s">
        <v>56</v>
      </c>
      <c r="D24" s="15">
        <f>IF(D21="","",IF(D21&lt;=0,"",IF(D21&gt;=1,"",IF(D22="","",IF(D22&lt;1,"",TINV(D21,D22))))))</f>
        <v>1.8856180826315692</v>
      </c>
      <c r="E24" s="54"/>
      <c r="G24" s="42"/>
    </row>
    <row r="25" spans="2:7" ht="19.5" thickBot="1">
      <c r="B25" s="20"/>
      <c r="C25" s="58" t="s">
        <v>55</v>
      </c>
      <c r="D25" s="38">
        <f>IF(D21&gt;0.5,-TINV(1-2*(D21-0.5),D22),TINV(2*D21,D22))</f>
        <v>1.0606601719257251</v>
      </c>
      <c r="E25" s="54"/>
      <c r="G25" s="42"/>
    </row>
    <row r="26" spans="2:7" ht="16.5" thickBot="1">
      <c r="B26" s="68"/>
      <c r="C26" s="69"/>
      <c r="D26" s="39"/>
      <c r="E26" s="61"/>
      <c r="G26" s="42"/>
    </row>
    <row r="27" spans="3:7" ht="15.75">
      <c r="C27" s="45"/>
      <c r="D27" s="44"/>
      <c r="E27" s="46"/>
      <c r="F27" s="43"/>
      <c r="G27" s="42"/>
    </row>
  </sheetData>
  <sheetProtection password="CCA8" sheet="1" objects="1" scenarios="1" selectLockedCells="1"/>
  <printOptions/>
  <pageMargins left="0.75" right="0.75" top="1" bottom="1" header="0.5" footer="0.5"/>
  <pageSetup horizontalDpi="300" verticalDpi="300" orientation="portrait" r:id="rId3"/>
  <customProperties>
    <customPr name="DVSECTIONID" r:id="rId4"/>
  </customProperties>
  <legacyDrawing r:id="rId2"/>
</worksheet>
</file>

<file path=xl/worksheets/sheet5.xml><?xml version="1.0" encoding="utf-8"?>
<worksheet xmlns="http://schemas.openxmlformats.org/spreadsheetml/2006/main" xmlns:r="http://schemas.openxmlformats.org/officeDocument/2006/relationships">
  <sheetPr codeName="Sheet3"/>
  <dimension ref="A1:H25"/>
  <sheetViews>
    <sheetView showGridLines="0" showRowColHeaders="0" showZeros="0" showOutlineSymbols="0" zoomScalePageLayoutView="0" workbookViewId="0" topLeftCell="A2">
      <selection activeCell="D19" sqref="D19"/>
    </sheetView>
  </sheetViews>
  <sheetFormatPr defaultColWidth="9.00390625" defaultRowHeight="15.75"/>
  <cols>
    <col min="1" max="1" width="8.125" style="30" customWidth="1"/>
    <col min="2" max="2" width="16.50390625" style="30" customWidth="1"/>
    <col min="3" max="5" width="9.00390625" style="30" customWidth="1"/>
    <col min="6" max="6" width="2.125" style="30" customWidth="1"/>
    <col min="7" max="16384" width="9.00390625" style="30" customWidth="1"/>
  </cols>
  <sheetData>
    <row r="1" ht="18.75">
      <c r="A1" s="70"/>
    </row>
    <row r="2" spans="1:6" ht="34.5">
      <c r="A2" s="70"/>
      <c r="C2" s="153" t="s">
        <v>27</v>
      </c>
      <c r="E2" s="80"/>
      <c r="F2" s="80"/>
    </row>
    <row r="3" ht="15.75" customHeight="1" thickBot="1"/>
    <row r="4" spans="2:8" ht="12" customHeight="1">
      <c r="B4" s="17"/>
      <c r="C4" s="18"/>
      <c r="D4" s="18"/>
      <c r="E4" s="19"/>
      <c r="G4" s="43"/>
      <c r="H4" s="43"/>
    </row>
    <row r="5" spans="2:8" ht="15.75">
      <c r="B5" s="288" t="s">
        <v>5</v>
      </c>
      <c r="C5" s="289"/>
      <c r="D5" s="289"/>
      <c r="E5" s="290"/>
      <c r="F5" s="71"/>
      <c r="G5" s="43"/>
      <c r="H5" s="43"/>
    </row>
    <row r="6" spans="2:8" ht="7.5" customHeight="1" thickBot="1">
      <c r="B6" s="53"/>
      <c r="C6" s="7"/>
      <c r="D6" s="7"/>
      <c r="E6" s="54"/>
      <c r="F6" s="43"/>
      <c r="G6" s="43"/>
      <c r="H6" s="43"/>
    </row>
    <row r="7" spans="2:8" ht="26.25">
      <c r="B7" s="55" t="s">
        <v>60</v>
      </c>
      <c r="C7" s="74" t="s">
        <v>61</v>
      </c>
      <c r="D7" s="12">
        <v>0.05</v>
      </c>
      <c r="E7" s="54"/>
      <c r="F7" s="43"/>
      <c r="G7" s="149">
        <f>IF(D7&lt;=0,"  alpha must be greater than zero.",(IF(D7&gt;=1,"  alpha must be less than 1.","")))</f>
      </c>
      <c r="H7" s="43"/>
    </row>
    <row r="8" spans="2:8" ht="26.25">
      <c r="B8" s="53"/>
      <c r="C8" s="57" t="s">
        <v>62</v>
      </c>
      <c r="D8" s="14">
        <v>1</v>
      </c>
      <c r="E8" s="54"/>
      <c r="F8" s="43"/>
      <c r="G8" s="149">
        <f>IF(D8&lt;=0,"  df must be greater than zero.","")</f>
      </c>
      <c r="H8" s="43"/>
    </row>
    <row r="9" spans="2:8" ht="27" thickBot="1">
      <c r="B9" s="53"/>
      <c r="C9" s="57" t="s">
        <v>63</v>
      </c>
      <c r="D9" s="13">
        <v>24</v>
      </c>
      <c r="E9" s="54"/>
      <c r="F9" s="43"/>
      <c r="G9" s="149">
        <f>IF(D9&lt;=0,"  df must be greater than zero.","")</f>
      </c>
      <c r="H9" s="43"/>
    </row>
    <row r="10" spans="2:8" ht="16.5" thickBot="1">
      <c r="B10" s="53"/>
      <c r="C10" s="57"/>
      <c r="D10" s="62"/>
      <c r="E10" s="54"/>
      <c r="F10" s="43"/>
      <c r="G10" s="43"/>
      <c r="H10" s="43"/>
    </row>
    <row r="11" spans="2:8" ht="16.5" thickBot="1">
      <c r="B11" s="55" t="s">
        <v>51</v>
      </c>
      <c r="C11" s="58" t="s">
        <v>8</v>
      </c>
      <c r="D11" s="1">
        <f>IF(D7="","",IF(D7&lt;0,"",IF(D7&gt;1,"",IF(D8="","",IF(D8&lt;1,"",IF(D9="","",IF(D9&lt;1,"",FINV(D7,D8,D9))))))))</f>
        <v>4.259677213621634</v>
      </c>
      <c r="E11" s="54"/>
      <c r="F11" s="43"/>
      <c r="G11" s="43"/>
      <c r="H11" s="43"/>
    </row>
    <row r="12" spans="2:8" ht="16.5" thickBot="1">
      <c r="B12" s="68"/>
      <c r="C12" s="69"/>
      <c r="D12" s="39"/>
      <c r="E12" s="61"/>
      <c r="F12" s="43"/>
      <c r="G12" s="43"/>
      <c r="H12" s="43"/>
    </row>
    <row r="13" spans="2:8" ht="15.75">
      <c r="B13" s="45"/>
      <c r="C13" s="44"/>
      <c r="D13" s="46"/>
      <c r="E13" s="43"/>
      <c r="F13" s="43"/>
      <c r="G13" s="43"/>
      <c r="H13" s="43"/>
    </row>
    <row r="14" spans="2:8" ht="16.5" thickBot="1">
      <c r="B14" s="45"/>
      <c r="C14" s="44"/>
      <c r="D14" s="46"/>
      <c r="E14" s="43"/>
      <c r="F14" s="43"/>
      <c r="G14" s="43"/>
      <c r="H14" s="43"/>
    </row>
    <row r="15" spans="2:8" ht="15.75">
      <c r="B15" s="75"/>
      <c r="C15" s="76"/>
      <c r="D15" s="40"/>
      <c r="E15" s="49"/>
      <c r="F15" s="43"/>
      <c r="G15" s="43"/>
      <c r="H15" s="43"/>
    </row>
    <row r="16" spans="2:8" ht="14.25" customHeight="1">
      <c r="B16" s="291" t="s">
        <v>25</v>
      </c>
      <c r="C16" s="292"/>
      <c r="D16" s="292"/>
      <c r="E16" s="293"/>
      <c r="F16" s="72"/>
      <c r="G16" s="43"/>
      <c r="H16" s="43"/>
    </row>
    <row r="17" spans="2:8" ht="12.75" customHeight="1" thickBot="1">
      <c r="B17" s="77"/>
      <c r="C17" s="78"/>
      <c r="D17" s="78"/>
      <c r="E17" s="79"/>
      <c r="F17" s="73"/>
      <c r="G17" s="43"/>
      <c r="H17" s="43"/>
    </row>
    <row r="18" spans="2:8" ht="26.25">
      <c r="B18" s="55" t="s">
        <v>60</v>
      </c>
      <c r="C18" s="58" t="s">
        <v>8</v>
      </c>
      <c r="D18" s="12">
        <v>3</v>
      </c>
      <c r="E18" s="54"/>
      <c r="F18" s="43"/>
      <c r="G18" s="149">
        <f>IF(D18&lt;=0,"  F must be greater than zero.","")</f>
      </c>
      <c r="H18" s="43"/>
    </row>
    <row r="19" spans="2:8" ht="26.25">
      <c r="B19" s="53"/>
      <c r="C19" s="57" t="s">
        <v>6</v>
      </c>
      <c r="D19" s="14">
        <v>3</v>
      </c>
      <c r="E19" s="54"/>
      <c r="F19" s="43"/>
      <c r="G19" s="149">
        <f>IF(D19&lt;=0,"  df must be greater than zero.","")</f>
      </c>
      <c r="H19" s="43"/>
    </row>
    <row r="20" spans="2:8" ht="27" thickBot="1">
      <c r="B20" s="53"/>
      <c r="C20" s="57" t="s">
        <v>7</v>
      </c>
      <c r="D20" s="13">
        <v>24</v>
      </c>
      <c r="E20" s="54"/>
      <c r="F20" s="43"/>
      <c r="G20" s="149">
        <f>IF(D20&lt;=0,"  df must be greater than zero.","")</f>
      </c>
      <c r="H20" s="43"/>
    </row>
    <row r="21" spans="2:8" ht="16.5" thickBot="1">
      <c r="B21" s="53"/>
      <c r="C21" s="57"/>
      <c r="D21" s="62"/>
      <c r="E21" s="54"/>
      <c r="F21" s="43"/>
      <c r="G21" s="43"/>
      <c r="H21" s="43"/>
    </row>
    <row r="22" spans="2:8" ht="16.5" thickBot="1">
      <c r="B22" s="55" t="s">
        <v>51</v>
      </c>
      <c r="C22" s="56" t="s">
        <v>26</v>
      </c>
      <c r="D22" s="1">
        <f>IF(D18="","",IF(D18&lt;0,"",IF(D19="","",IF(D19&lt;1,"",IF(D20="","",IF(D20&lt;1,"",FDIST(D18,D19,D20)))))))</f>
        <v>0.05043961253382511</v>
      </c>
      <c r="E22" s="54"/>
      <c r="F22" s="43"/>
      <c r="G22" s="43"/>
      <c r="H22" s="43"/>
    </row>
    <row r="23" spans="2:8" ht="16.5" thickBot="1">
      <c r="B23" s="59"/>
      <c r="C23" s="60"/>
      <c r="D23" s="60"/>
      <c r="E23" s="61"/>
      <c r="F23" s="43"/>
      <c r="G23" s="43"/>
      <c r="H23" s="43"/>
    </row>
    <row r="24" spans="2:8" ht="15.75">
      <c r="B24" s="43"/>
      <c r="C24" s="43"/>
      <c r="D24" s="43"/>
      <c r="E24" s="43"/>
      <c r="F24" s="43"/>
      <c r="G24" s="43"/>
      <c r="H24" s="43"/>
    </row>
    <row r="25" spans="2:8" ht="15.75">
      <c r="B25" s="43"/>
      <c r="C25" s="43"/>
      <c r="D25" s="43"/>
      <c r="E25" s="43"/>
      <c r="F25" s="43"/>
      <c r="G25" s="43"/>
      <c r="H25" s="43"/>
    </row>
  </sheetData>
  <sheetProtection password="CD38" sheet="1" objects="1" scenarios="1" selectLockedCells="1"/>
  <mergeCells count="2">
    <mergeCell ref="B5:E5"/>
    <mergeCell ref="B16:E16"/>
  </mergeCells>
  <printOptions/>
  <pageMargins left="0.75" right="0.75" top="1" bottom="1" header="0.5" footer="0.5"/>
  <pageSetup horizontalDpi="300" verticalDpi="300" orientation="portrait" r:id="rId2"/>
  <customProperties>
    <customPr name="DVSECTIONID" r:id="rId3"/>
  </customProperties>
  <legacyDrawing r:id="rId1"/>
</worksheet>
</file>

<file path=xl/worksheets/sheet6.xml><?xml version="1.0" encoding="utf-8"?>
<worksheet xmlns="http://schemas.openxmlformats.org/spreadsheetml/2006/main" xmlns:r="http://schemas.openxmlformats.org/officeDocument/2006/relationships">
  <sheetPr codeName="Sheet4"/>
  <dimension ref="B2:M28"/>
  <sheetViews>
    <sheetView showGridLines="0" showRowColHeaders="0" zoomScalePageLayoutView="0" workbookViewId="0" topLeftCell="A1">
      <selection activeCell="E17" sqref="E17"/>
    </sheetView>
  </sheetViews>
  <sheetFormatPr defaultColWidth="9.00390625" defaultRowHeight="15.75"/>
  <cols>
    <col min="1" max="1" width="9.00390625" style="29" customWidth="1"/>
    <col min="2" max="2" width="3.625" style="29" customWidth="1"/>
    <col min="3" max="3" width="9.00390625" style="29" customWidth="1"/>
    <col min="4" max="4" width="10.625" style="29" customWidth="1"/>
    <col min="5" max="5" width="10.875" style="29" customWidth="1"/>
    <col min="6" max="6" width="10.125" style="29" customWidth="1"/>
    <col min="7" max="16384" width="9.00390625" style="29" customWidth="1"/>
  </cols>
  <sheetData>
    <row r="2" ht="41.25">
      <c r="D2" s="154" t="s">
        <v>110</v>
      </c>
    </row>
    <row r="3" ht="10.5" customHeight="1"/>
    <row r="4" spans="3:13" ht="16.5" thickBot="1">
      <c r="C4" s="42"/>
      <c r="D4" s="42"/>
      <c r="E4" s="42"/>
      <c r="F4" s="42"/>
      <c r="G4" s="42"/>
      <c r="H4" s="42"/>
      <c r="I4" s="42"/>
      <c r="K4" s="42"/>
      <c r="L4" s="42"/>
      <c r="M4" s="42"/>
    </row>
    <row r="5" spans="2:13" ht="18.75">
      <c r="B5" s="17"/>
      <c r="C5" s="82" t="s">
        <v>9</v>
      </c>
      <c r="D5" s="82"/>
      <c r="E5" s="82"/>
      <c r="F5" s="83"/>
      <c r="G5" s="42"/>
      <c r="H5" s="71"/>
      <c r="I5" s="71"/>
      <c r="K5" s="42"/>
      <c r="L5" s="42"/>
      <c r="M5" s="42"/>
    </row>
    <row r="6" spans="2:13" ht="7.5" customHeight="1" thickBot="1">
      <c r="B6" s="20"/>
      <c r="C6" s="7"/>
      <c r="D6" s="7"/>
      <c r="E6" s="7"/>
      <c r="F6" s="54"/>
      <c r="G6" s="42"/>
      <c r="H6" s="43"/>
      <c r="I6" s="43"/>
      <c r="K6" s="42"/>
      <c r="L6" s="42"/>
      <c r="M6" s="42"/>
    </row>
    <row r="7" spans="2:13" ht="27.75">
      <c r="B7" s="20"/>
      <c r="C7" s="84" t="s">
        <v>0</v>
      </c>
      <c r="D7" s="56" t="s">
        <v>10</v>
      </c>
      <c r="E7" s="12">
        <v>0.12</v>
      </c>
      <c r="F7" s="54"/>
      <c r="G7" s="156">
        <f>IF(E7&lt;=0,"  alpha must be greater than zero.",(IF(E7&gt;=1,"  alpha must be less than 1.","")))</f>
      </c>
      <c r="H7" s="43"/>
      <c r="I7" s="43"/>
      <c r="K7" s="42"/>
      <c r="L7" s="42"/>
      <c r="M7" s="42"/>
    </row>
    <row r="8" spans="2:13" ht="27" thickBot="1">
      <c r="B8" s="20"/>
      <c r="C8" s="7"/>
      <c r="D8" s="57" t="s">
        <v>11</v>
      </c>
      <c r="E8" s="13">
        <v>1</v>
      </c>
      <c r="F8" s="54"/>
      <c r="G8" s="155">
        <f>IF(E8&lt;=0,"  df must be greater than zero.","")</f>
      </c>
      <c r="H8" s="43"/>
      <c r="I8" s="43"/>
      <c r="K8" s="42"/>
      <c r="L8" s="42"/>
      <c r="M8" s="42"/>
    </row>
    <row r="9" spans="2:13" ht="9.75" customHeight="1" thickBot="1">
      <c r="B9" s="20"/>
      <c r="C9" s="7"/>
      <c r="D9" s="57"/>
      <c r="E9" s="62"/>
      <c r="F9" s="54"/>
      <c r="G9" s="42"/>
      <c r="H9" s="43"/>
      <c r="I9" s="43"/>
      <c r="K9" s="42"/>
      <c r="L9" s="42"/>
      <c r="M9" s="42"/>
    </row>
    <row r="10" spans="2:13" ht="18.75" thickBot="1">
      <c r="B10" s="20"/>
      <c r="C10" s="84" t="s">
        <v>1</v>
      </c>
      <c r="D10" s="85" t="s">
        <v>12</v>
      </c>
      <c r="E10" s="1">
        <f>IF(E7="","",IF(E7&lt;=0,"",IF(E7&gt;=1,"",IF(E8="","",IF(E8&lt;1,"",CHIINV(E7,E8))))))</f>
        <v>2.4173213074839675</v>
      </c>
      <c r="F10" s="54"/>
      <c r="G10" s="42"/>
      <c r="H10" s="43"/>
      <c r="I10" s="43"/>
      <c r="K10" s="42"/>
      <c r="L10" s="42"/>
      <c r="M10" s="42"/>
    </row>
    <row r="11" spans="2:6" ht="16.5" thickBot="1">
      <c r="B11" s="21"/>
      <c r="C11" s="22"/>
      <c r="D11" s="22"/>
      <c r="E11" s="22"/>
      <c r="F11" s="23"/>
    </row>
    <row r="12" spans="2:6" ht="15.75">
      <c r="B12" s="30"/>
      <c r="C12" s="30"/>
      <c r="D12" s="30"/>
      <c r="E12" s="30"/>
      <c r="F12" s="30"/>
    </row>
    <row r="13" spans="3:13" ht="16.5" thickBot="1">
      <c r="C13" s="43"/>
      <c r="D13" s="81"/>
      <c r="E13" s="43"/>
      <c r="F13" s="42"/>
      <c r="G13" s="42"/>
      <c r="H13" s="42"/>
      <c r="I13" s="42"/>
      <c r="K13" s="42"/>
      <c r="L13" s="42"/>
      <c r="M13" s="42"/>
    </row>
    <row r="14" spans="2:13" ht="15.75">
      <c r="B14" s="86"/>
      <c r="C14" s="87" t="s">
        <v>28</v>
      </c>
      <c r="D14" s="87"/>
      <c r="E14" s="87"/>
      <c r="F14" s="88"/>
      <c r="G14" s="42"/>
      <c r="H14" s="72"/>
      <c r="I14" s="72"/>
      <c r="K14" s="42"/>
      <c r="L14" s="42"/>
      <c r="M14" s="42"/>
    </row>
    <row r="15" spans="2:13" ht="8.25" customHeight="1" thickBot="1">
      <c r="B15" s="89"/>
      <c r="C15" s="90"/>
      <c r="D15" s="91"/>
      <c r="E15" s="90"/>
      <c r="F15" s="92"/>
      <c r="G15" s="42"/>
      <c r="H15" s="43"/>
      <c r="I15" s="43"/>
      <c r="K15" s="42"/>
      <c r="L15" s="42"/>
      <c r="M15" s="42"/>
    </row>
    <row r="16" spans="2:13" ht="23.25">
      <c r="B16" s="89"/>
      <c r="C16" s="93" t="s">
        <v>0</v>
      </c>
      <c r="D16" s="94" t="s">
        <v>80</v>
      </c>
      <c r="E16" s="101">
        <v>5</v>
      </c>
      <c r="F16" s="92"/>
      <c r="G16" s="150">
        <f>IF(E16&lt;0,"  Chi-square must be greater than or equal to zero.","")</f>
      </c>
      <c r="H16" s="43"/>
      <c r="I16" s="43"/>
      <c r="K16" s="42"/>
      <c r="L16" s="42"/>
      <c r="M16" s="42"/>
    </row>
    <row r="17" spans="2:13" ht="24" thickBot="1">
      <c r="B17" s="89"/>
      <c r="C17" s="90"/>
      <c r="D17" s="95" t="s">
        <v>11</v>
      </c>
      <c r="E17" s="102">
        <v>2</v>
      </c>
      <c r="F17" s="92"/>
      <c r="G17" s="150">
        <f>IF(E17&lt;=0,"  df must be greater than zero.","")</f>
      </c>
      <c r="H17" s="43"/>
      <c r="I17" s="43"/>
      <c r="K17" s="42"/>
      <c r="L17" s="42"/>
      <c r="M17" s="42"/>
    </row>
    <row r="18" spans="2:13" ht="8.25" customHeight="1" thickBot="1">
      <c r="B18" s="89"/>
      <c r="C18" s="90"/>
      <c r="D18" s="95"/>
      <c r="E18" s="96"/>
      <c r="F18" s="92"/>
      <c r="G18" s="42"/>
      <c r="H18" s="43"/>
      <c r="I18" s="43"/>
      <c r="K18" s="42"/>
      <c r="L18" s="42"/>
      <c r="M18" s="42"/>
    </row>
    <row r="19" spans="2:13" ht="16.5" thickBot="1">
      <c r="B19" s="89"/>
      <c r="C19" s="93" t="s">
        <v>1</v>
      </c>
      <c r="D19" s="97" t="s">
        <v>81</v>
      </c>
      <c r="E19" s="103">
        <f>IF(E16="","",IF(E16&lt;0,"",IF(E17="","",IF(E17&lt;1,"",CHIDIST(E16,E17)))))</f>
        <v>0.08208499862732305</v>
      </c>
      <c r="F19" s="92"/>
      <c r="G19" s="42"/>
      <c r="H19" s="43"/>
      <c r="I19" s="43"/>
      <c r="K19" s="42"/>
      <c r="L19" s="42"/>
      <c r="M19" s="42"/>
    </row>
    <row r="20" spans="2:13" ht="16.5" thickBot="1">
      <c r="B20" s="98"/>
      <c r="C20" s="99"/>
      <c r="D20" s="99"/>
      <c r="E20" s="99"/>
      <c r="F20" s="100"/>
      <c r="G20" s="42"/>
      <c r="H20" s="42"/>
      <c r="I20" s="42"/>
      <c r="K20" s="42"/>
      <c r="L20" s="42"/>
      <c r="M20" s="42"/>
    </row>
    <row r="21" spans="3:13" ht="15.75">
      <c r="C21" s="42"/>
      <c r="D21" s="42"/>
      <c r="E21" s="42"/>
      <c r="F21" s="42"/>
      <c r="G21" s="42"/>
      <c r="H21" s="42"/>
      <c r="I21" s="42"/>
      <c r="K21" s="42"/>
      <c r="L21" s="42"/>
      <c r="M21" s="42"/>
    </row>
    <row r="22" spans="3:13" ht="15.75">
      <c r="C22" s="42"/>
      <c r="D22" s="42"/>
      <c r="E22" s="42"/>
      <c r="F22" s="42"/>
      <c r="G22" s="42"/>
      <c r="H22" s="42"/>
      <c r="I22" s="42"/>
      <c r="K22" s="42"/>
      <c r="L22" s="42"/>
      <c r="M22" s="42"/>
    </row>
    <row r="23" spans="3:13" ht="15.75">
      <c r="C23" s="42"/>
      <c r="D23" s="42"/>
      <c r="E23" s="42"/>
      <c r="F23" s="42"/>
      <c r="G23" s="42"/>
      <c r="H23" s="42"/>
      <c r="I23" s="42"/>
      <c r="K23" s="42"/>
      <c r="L23" s="42"/>
      <c r="M23" s="42"/>
    </row>
    <row r="24" spans="7:13" ht="15.75">
      <c r="G24" s="42"/>
      <c r="I24" s="42"/>
      <c r="K24" s="42"/>
      <c r="L24" s="42"/>
      <c r="M24" s="42"/>
    </row>
    <row r="25" spans="7:13" ht="15.75">
      <c r="G25" s="42"/>
      <c r="I25" s="42"/>
      <c r="K25" s="42"/>
      <c r="L25" s="42"/>
      <c r="M25" s="42"/>
    </row>
    <row r="26" spans="7:13" ht="15.75">
      <c r="G26" s="42"/>
      <c r="I26" s="42"/>
      <c r="K26" s="42"/>
      <c r="L26" s="42"/>
      <c r="M26" s="42"/>
    </row>
    <row r="27" spans="7:13" ht="15.75">
      <c r="G27" s="42"/>
      <c r="I27" s="42"/>
      <c r="K27" s="42"/>
      <c r="L27" s="42"/>
      <c r="M27" s="42"/>
    </row>
    <row r="28" spans="3:13" ht="15.75">
      <c r="C28" s="42"/>
      <c r="D28" s="42"/>
      <c r="E28" s="42"/>
      <c r="F28" s="42"/>
      <c r="G28" s="42"/>
      <c r="H28" s="42"/>
      <c r="I28" s="42"/>
      <c r="K28" s="42"/>
      <c r="L28" s="42"/>
      <c r="M28" s="42"/>
    </row>
  </sheetData>
  <sheetProtection password="EAF4" sheet="1" objects="1" scenarios="1" selectLockedCells="1"/>
  <printOptions/>
  <pageMargins left="0.75" right="0.75" top="1" bottom="1" header="0.5" footer="0.5"/>
  <pageSetup horizontalDpi="600" verticalDpi="600" orientation="portrait" r:id="rId2"/>
  <customProperties>
    <customPr name="DVSECTIONID" r:id="rId3"/>
  </customProperties>
  <legacyDrawing r:id="rId1"/>
</worksheet>
</file>

<file path=xl/worksheets/sheet7.xml><?xml version="1.0" encoding="utf-8"?>
<worksheet xmlns="http://schemas.openxmlformats.org/spreadsheetml/2006/main" xmlns:r="http://schemas.openxmlformats.org/officeDocument/2006/relationships">
  <sheetPr codeName="Sheet9"/>
  <dimension ref="B2:F17"/>
  <sheetViews>
    <sheetView showGridLines="0" showRowColHeaders="0" zoomScalePageLayoutView="0" workbookViewId="0" topLeftCell="A1">
      <selection activeCell="D7" sqref="D7"/>
    </sheetView>
  </sheetViews>
  <sheetFormatPr defaultColWidth="9.00390625" defaultRowHeight="15.75"/>
  <cols>
    <col min="1" max="1" width="8.75390625" style="29" customWidth="1"/>
    <col min="2" max="2" width="9.25390625" style="29" customWidth="1"/>
    <col min="3" max="3" width="22.875" style="29" customWidth="1"/>
    <col min="4" max="4" width="12.125" style="29" bestFit="1" customWidth="1"/>
    <col min="5" max="16384" width="9.00390625" style="29" customWidth="1"/>
  </cols>
  <sheetData>
    <row r="1" ht="28.5" customHeight="1"/>
    <row r="2" spans="3:5" ht="31.5" customHeight="1">
      <c r="C2" s="157" t="s">
        <v>112</v>
      </c>
      <c r="D2" s="104"/>
      <c r="E2" s="104"/>
    </row>
    <row r="3" ht="16.5" thickBot="1"/>
    <row r="4" spans="2:5" ht="16.5" thickBot="1">
      <c r="B4" s="17"/>
      <c r="C4" s="18"/>
      <c r="D4" s="18"/>
      <c r="E4" s="19"/>
    </row>
    <row r="5" spans="2:6" ht="26.25">
      <c r="B5" s="105" t="s">
        <v>60</v>
      </c>
      <c r="C5" s="28" t="s">
        <v>32</v>
      </c>
      <c r="D5" s="268">
        <v>159</v>
      </c>
      <c r="E5" s="8"/>
      <c r="F5" s="155">
        <f>IF(D5&lt;=0,"  X must be greater than zero.","")</f>
      </c>
    </row>
    <row r="6" spans="2:6" ht="26.25">
      <c r="B6" s="20"/>
      <c r="C6" s="28" t="s">
        <v>33</v>
      </c>
      <c r="D6" s="269">
        <v>19</v>
      </c>
      <c r="E6" s="8"/>
      <c r="F6" s="155">
        <f>IF(D6&lt;=0,"  n must be greater than zero.","")</f>
      </c>
    </row>
    <row r="7" spans="2:6" ht="27" thickBot="1">
      <c r="B7" s="20"/>
      <c r="C7" s="28" t="s">
        <v>34</v>
      </c>
      <c r="D7" s="270">
        <v>0.01</v>
      </c>
      <c r="E7" s="8"/>
      <c r="F7" s="148">
        <f>IF(D7&lt;=0,"  p must be greater than zero.",(IF(D7&gt;=1,"  p must be less than 1.","")))</f>
      </c>
    </row>
    <row r="8" spans="2:5" ht="16.5" thickBot="1">
      <c r="B8" s="20"/>
      <c r="C8" s="10"/>
      <c r="D8" s="10"/>
      <c r="E8" s="8"/>
    </row>
    <row r="9" spans="2:5" ht="15.75">
      <c r="B9" s="105" t="s">
        <v>51</v>
      </c>
      <c r="C9" s="106" t="s">
        <v>29</v>
      </c>
      <c r="D9" s="160">
        <f>BINOMDIST(D6,D5,D7,0)</f>
        <v>4.406146082591526E-15</v>
      </c>
      <c r="E9" s="8"/>
    </row>
    <row r="10" spans="2:5" ht="15.75">
      <c r="B10" s="20"/>
      <c r="C10" s="106" t="s">
        <v>30</v>
      </c>
      <c r="D10" s="161">
        <f>BINOMDIST(D6,D5,D7,1)</f>
        <v>0.9999999999999986</v>
      </c>
      <c r="E10" s="8"/>
    </row>
    <row r="11" spans="2:5" ht="16.5" thickBot="1">
      <c r="B11" s="20"/>
      <c r="C11" s="106" t="s">
        <v>31</v>
      </c>
      <c r="D11" s="162">
        <f>1-BINOMDIST(D6-1,D5,D7,1)</f>
        <v>5.88418203051333E-15</v>
      </c>
      <c r="E11" s="8"/>
    </row>
    <row r="12" spans="2:5" ht="16.5" thickBot="1">
      <c r="B12" s="21"/>
      <c r="C12" s="22"/>
      <c r="D12" s="22"/>
      <c r="E12" s="23"/>
    </row>
    <row r="13" ht="15.75"/>
    <row r="14" ht="16.5" thickBot="1"/>
    <row r="15" ht="15.75">
      <c r="B15" s="158" t="s">
        <v>113</v>
      </c>
    </row>
    <row r="16" ht="15.75">
      <c r="B16" s="163" t="s">
        <v>115</v>
      </c>
    </row>
    <row r="17" ht="19.5" customHeight="1" thickBot="1">
      <c r="B17" s="159" t="s">
        <v>114</v>
      </c>
    </row>
    <row r="18" ht="15.75"/>
    <row r="19" ht="15.75"/>
    <row r="20" ht="15.75"/>
  </sheetData>
  <sheetProtection password="F003" sheet="1" objects="1" scenarios="1" selectLockedCells="1"/>
  <protectedRanges>
    <protectedRange sqref="D5:D7" name="Range1"/>
  </protectedRanges>
  <printOptions/>
  <pageMargins left="0.75" right="0.75" top="1" bottom="1" header="0.5" footer="0.5"/>
  <pageSetup horizontalDpi="300" verticalDpi="300" orientation="portrait" r:id="rId3"/>
  <customProperties>
    <customPr name="DVSECTIONID" r:id="rId4"/>
  </customProperties>
  <legacyDrawing r:id="rId2"/>
</worksheet>
</file>

<file path=xl/worksheets/sheet8.xml><?xml version="1.0" encoding="utf-8"?>
<worksheet xmlns="http://schemas.openxmlformats.org/spreadsheetml/2006/main" xmlns:r="http://schemas.openxmlformats.org/officeDocument/2006/relationships">
  <sheetPr codeName="Sheet11"/>
  <dimension ref="B3:J16"/>
  <sheetViews>
    <sheetView showRowColHeaders="0" zoomScalePageLayoutView="0" workbookViewId="0" topLeftCell="A1">
      <selection activeCell="D14" sqref="D14"/>
    </sheetView>
  </sheetViews>
  <sheetFormatPr defaultColWidth="9.00390625" defaultRowHeight="15.75"/>
  <cols>
    <col min="1" max="1" width="6.75390625" style="29" customWidth="1"/>
    <col min="2" max="2" width="4.00390625" style="29" customWidth="1"/>
    <col min="3" max="7" width="9.00390625" style="29" customWidth="1"/>
    <col min="8" max="8" width="4.625" style="29" customWidth="1"/>
    <col min="9" max="9" width="2.625" style="29" customWidth="1"/>
    <col min="10" max="16384" width="9.00390625" style="29" customWidth="1"/>
  </cols>
  <sheetData>
    <row r="1" ht="15.75"/>
    <row r="2" ht="15.75"/>
    <row r="3" ht="26.25">
      <c r="D3" s="130" t="s">
        <v>121</v>
      </c>
    </row>
    <row r="4" ht="21" thickBot="1">
      <c r="E4" s="129"/>
    </row>
    <row r="5" spans="2:10" ht="23.25">
      <c r="B5" s="17"/>
      <c r="C5" s="18"/>
      <c r="D5" s="18"/>
      <c r="E5" s="18"/>
      <c r="F5" s="18"/>
      <c r="G5" s="18"/>
      <c r="H5" s="19"/>
      <c r="J5" s="265" t="s">
        <v>153</v>
      </c>
    </row>
    <row r="6" spans="2:8" ht="18.75">
      <c r="B6" s="20"/>
      <c r="C6" s="10"/>
      <c r="D6" s="34" t="s">
        <v>122</v>
      </c>
      <c r="E6" s="26"/>
      <c r="F6" s="10"/>
      <c r="G6" s="10"/>
      <c r="H6" s="8"/>
    </row>
    <row r="7" spans="2:8" ht="19.5" thickBot="1">
      <c r="B7" s="20"/>
      <c r="C7" s="10"/>
      <c r="D7" s="27" t="s">
        <v>42</v>
      </c>
      <c r="E7" s="27"/>
      <c r="F7" s="10"/>
      <c r="G7" s="185" t="s">
        <v>124</v>
      </c>
      <c r="H7" s="8"/>
    </row>
    <row r="8" spans="2:8" ht="16.5" thickBot="1">
      <c r="B8" s="20"/>
      <c r="C8" s="28" t="s">
        <v>0</v>
      </c>
      <c r="D8" s="11">
        <v>0.54</v>
      </c>
      <c r="E8" s="271"/>
      <c r="F8" s="28" t="s">
        <v>1</v>
      </c>
      <c r="G8" s="16">
        <f>(LN((1+D8)/(1-D8))/2)</f>
        <v>0.6041556029622671</v>
      </c>
      <c r="H8" s="8"/>
    </row>
    <row r="9" spans="2:8" ht="16.5" thickBot="1">
      <c r="B9" s="21"/>
      <c r="C9" s="22"/>
      <c r="D9" s="22"/>
      <c r="E9" s="22"/>
      <c r="F9" s="22"/>
      <c r="G9" s="22"/>
      <c r="H9" s="23"/>
    </row>
    <row r="10" spans="2:8" ht="16.5" thickBot="1">
      <c r="B10" s="30"/>
      <c r="C10" s="30"/>
      <c r="D10" s="30"/>
      <c r="E10" s="30"/>
      <c r="F10" s="30"/>
      <c r="G10" s="30"/>
      <c r="H10" s="30"/>
    </row>
    <row r="11" spans="2:8" ht="15.75">
      <c r="B11" s="17"/>
      <c r="C11" s="18"/>
      <c r="D11" s="18"/>
      <c r="E11" s="18"/>
      <c r="F11" s="18"/>
      <c r="G11" s="18"/>
      <c r="H11" s="19"/>
    </row>
    <row r="12" spans="2:8" ht="18.75">
      <c r="B12" s="20"/>
      <c r="C12" s="10"/>
      <c r="D12" s="34" t="s">
        <v>123</v>
      </c>
      <c r="E12" s="26"/>
      <c r="F12" s="10"/>
      <c r="G12" s="10"/>
      <c r="H12" s="8"/>
    </row>
    <row r="13" spans="2:8" ht="19.5" thickBot="1">
      <c r="B13" s="20"/>
      <c r="C13" s="10"/>
      <c r="D13" s="185" t="s">
        <v>124</v>
      </c>
      <c r="E13" s="27"/>
      <c r="F13" s="10"/>
      <c r="G13" s="27" t="s">
        <v>42</v>
      </c>
      <c r="H13" s="8"/>
    </row>
    <row r="14" spans="2:8" ht="16.5" thickBot="1">
      <c r="B14" s="20"/>
      <c r="C14" s="28" t="s">
        <v>50</v>
      </c>
      <c r="D14" s="11">
        <v>1.098612</v>
      </c>
      <c r="E14" s="10"/>
      <c r="F14" s="267" t="s">
        <v>1</v>
      </c>
      <c r="G14" s="132">
        <f>(EXP(2*D14)-1)/(EXP(2*D14)+1)</f>
        <v>0.7999998960794564</v>
      </c>
      <c r="H14" s="8"/>
    </row>
    <row r="15" spans="2:8" ht="16.5" thickBot="1">
      <c r="B15" s="21"/>
      <c r="C15" s="22"/>
      <c r="D15" s="22"/>
      <c r="E15" s="22"/>
      <c r="F15" s="22"/>
      <c r="G15" s="22"/>
      <c r="H15" s="23"/>
    </row>
    <row r="16" spans="2:8" ht="15.75">
      <c r="B16" s="30"/>
      <c r="C16" s="30"/>
      <c r="D16" s="30"/>
      <c r="E16" s="30"/>
      <c r="F16" s="30"/>
      <c r="G16" s="30"/>
      <c r="H16" s="30"/>
    </row>
  </sheetData>
  <sheetProtection password="CAFF" sheet="1" objects="1" scenarios="1" selectLockedCells="1"/>
  <printOptions/>
  <pageMargins left="0.75" right="0.75" top="1" bottom="1" header="0.5" footer="0.5"/>
  <pageSetup horizontalDpi="300" verticalDpi="300" orientation="portrait" r:id="rId3"/>
  <customProperties>
    <customPr name="DVSECTIONID" r:id="rId4"/>
  </customProperties>
  <legacyDrawing r:id="rId2"/>
</worksheet>
</file>

<file path=xl/worksheets/sheet9.xml><?xml version="1.0" encoding="utf-8"?>
<worksheet xmlns="http://schemas.openxmlformats.org/spreadsheetml/2006/main" xmlns:r="http://schemas.openxmlformats.org/officeDocument/2006/relationships">
  <sheetPr codeName="Sheet5"/>
  <dimension ref="B2:J23"/>
  <sheetViews>
    <sheetView showGridLines="0" showRowColHeaders="0" zoomScalePageLayoutView="0" workbookViewId="0" topLeftCell="A1">
      <selection activeCell="E9" sqref="E9"/>
    </sheetView>
  </sheetViews>
  <sheetFormatPr defaultColWidth="9.00390625" defaultRowHeight="15.75"/>
  <cols>
    <col min="1" max="3" width="9.00390625" style="29" customWidth="1"/>
    <col min="4" max="4" width="10.625" style="29" customWidth="1"/>
    <col min="5" max="16384" width="9.00390625" style="29" customWidth="1"/>
  </cols>
  <sheetData>
    <row r="1" ht="15.75" customHeight="1"/>
    <row r="2" spans="2:10" ht="27" customHeight="1">
      <c r="B2" s="294" t="s">
        <v>13</v>
      </c>
      <c r="C2" s="294"/>
      <c r="D2" s="294"/>
      <c r="E2" s="294"/>
      <c r="F2" s="294"/>
      <c r="G2" s="294"/>
      <c r="H2" s="294"/>
      <c r="I2" s="294"/>
      <c r="J2" s="294"/>
    </row>
    <row r="3" ht="16.5" thickBot="1">
      <c r="G3" s="30"/>
    </row>
    <row r="4" spans="2:10" ht="15.75">
      <c r="B4" s="17"/>
      <c r="C4" s="18"/>
      <c r="D4" s="18"/>
      <c r="E4" s="18"/>
      <c r="F4" s="18"/>
      <c r="G4" s="18"/>
      <c r="H4" s="18"/>
      <c r="I4" s="111">
        <f>0.5*(LN(1+E7)-LN(1-E7))</f>
        <v>0.38842309971829614</v>
      </c>
      <c r="J4" s="19"/>
    </row>
    <row r="5" spans="2:10" ht="20.25">
      <c r="B5" s="164" t="s">
        <v>68</v>
      </c>
      <c r="C5" s="10"/>
      <c r="D5" s="10"/>
      <c r="E5" s="10"/>
      <c r="F5" s="10"/>
      <c r="G5" s="10"/>
      <c r="H5" s="10"/>
      <c r="I5" s="112">
        <f>0.5*(LN(1+E8)-LN(1-E8))</f>
        <v>0.20273255405408214</v>
      </c>
      <c r="J5" s="8"/>
    </row>
    <row r="6" spans="2:10" ht="16.5" thickBot="1">
      <c r="B6" s="20"/>
      <c r="C6" s="10"/>
      <c r="D6" s="10"/>
      <c r="E6" s="10"/>
      <c r="F6" s="10"/>
      <c r="G6" s="10"/>
      <c r="H6" s="28" t="s">
        <v>1</v>
      </c>
      <c r="I6" s="10"/>
      <c r="J6" s="8"/>
    </row>
    <row r="7" spans="2:10" ht="15.75">
      <c r="B7" s="113" t="s">
        <v>64</v>
      </c>
      <c r="C7" s="10"/>
      <c r="D7" s="10"/>
      <c r="E7" s="3">
        <v>0.37</v>
      </c>
      <c r="F7" s="10"/>
      <c r="G7" s="10" t="s">
        <v>14</v>
      </c>
      <c r="H7" s="115">
        <f>(I4-I5)*SQRT(E9-3)</f>
        <v>1.0827526390956064</v>
      </c>
      <c r="I7" s="114"/>
      <c r="J7" s="8"/>
    </row>
    <row r="8" spans="2:10" ht="15.75">
      <c r="B8" s="113" t="s">
        <v>65</v>
      </c>
      <c r="C8" s="10"/>
      <c r="D8" s="10"/>
      <c r="E8" s="4">
        <v>0.2</v>
      </c>
      <c r="F8" s="10"/>
      <c r="G8" s="10" t="s">
        <v>16</v>
      </c>
      <c r="H8" s="115">
        <f>2*MIN(H9,I9)</f>
        <v>0.2789182324814692</v>
      </c>
      <c r="I8" s="114"/>
      <c r="J8" s="8"/>
    </row>
    <row r="9" spans="2:10" ht="16.5" thickBot="1">
      <c r="B9" s="113" t="s">
        <v>66</v>
      </c>
      <c r="C9" s="10"/>
      <c r="D9" s="10"/>
      <c r="E9" s="2">
        <v>37</v>
      </c>
      <c r="F9" s="10"/>
      <c r="G9" s="10" t="s">
        <v>15</v>
      </c>
      <c r="H9" s="115">
        <f>1-NORMSDIST(H7)</f>
        <v>0.1394591162407346</v>
      </c>
      <c r="I9" s="115">
        <f>1-H9</f>
        <v>0.8605408837592654</v>
      </c>
      <c r="J9" s="8"/>
    </row>
    <row r="10" spans="2:10" ht="15.75">
      <c r="B10" s="20"/>
      <c r="C10" s="10"/>
      <c r="D10" s="10"/>
      <c r="E10" s="10"/>
      <c r="F10" s="10"/>
      <c r="G10" s="9"/>
      <c r="H10" s="9"/>
      <c r="I10" s="9"/>
      <c r="J10" s="8"/>
    </row>
    <row r="11" spans="2:10" ht="15.75">
      <c r="B11" s="20" t="s">
        <v>67</v>
      </c>
      <c r="C11" s="10" t="s">
        <v>17</v>
      </c>
      <c r="D11" s="10"/>
      <c r="E11" s="10"/>
      <c r="F11" s="10"/>
      <c r="G11" s="10"/>
      <c r="H11" s="10"/>
      <c r="I11" s="10"/>
      <c r="J11" s="8"/>
    </row>
    <row r="12" spans="2:10" ht="16.5" thickBot="1">
      <c r="B12" s="21"/>
      <c r="C12" s="22"/>
      <c r="D12" s="22"/>
      <c r="E12" s="22"/>
      <c r="F12" s="22"/>
      <c r="G12" s="22"/>
      <c r="H12" s="22"/>
      <c r="I12" s="22"/>
      <c r="J12" s="23"/>
    </row>
    <row r="13" ht="16.5" thickBot="1">
      <c r="I13" s="110">
        <f>0.5*(LN(1+E17)-LN(1-E17))</f>
        <v>0.4000596500560565</v>
      </c>
    </row>
    <row r="14" spans="2:10" ht="15.75">
      <c r="B14" s="17"/>
      <c r="C14" s="18"/>
      <c r="D14" s="18"/>
      <c r="E14" s="18"/>
      <c r="F14" s="18"/>
      <c r="G14" s="18"/>
      <c r="H14" s="18"/>
      <c r="I14" s="111"/>
      <c r="J14" s="19"/>
    </row>
    <row r="15" spans="2:10" ht="20.25">
      <c r="B15" s="164" t="s">
        <v>69</v>
      </c>
      <c r="C15" s="10"/>
      <c r="D15" s="10"/>
      <c r="E15" s="10"/>
      <c r="F15" s="10"/>
      <c r="G15" s="10"/>
      <c r="H15" s="10"/>
      <c r="I15" s="112">
        <f>0.5*(LN(1+E19)-LN(1-E19))</f>
        <v>0.25541281188299536</v>
      </c>
      <c r="J15" s="8"/>
    </row>
    <row r="16" spans="2:10" ht="16.5" thickBot="1">
      <c r="B16" s="20"/>
      <c r="C16" s="10"/>
      <c r="D16" s="10"/>
      <c r="E16" s="10"/>
      <c r="F16" s="10"/>
      <c r="G16" s="10"/>
      <c r="H16" s="28" t="s">
        <v>1</v>
      </c>
      <c r="I16" s="10"/>
      <c r="J16" s="8"/>
    </row>
    <row r="17" spans="2:10" ht="15.75">
      <c r="B17" s="113" t="s">
        <v>70</v>
      </c>
      <c r="C17" s="10"/>
      <c r="D17" s="10"/>
      <c r="E17" s="3">
        <v>0.38</v>
      </c>
      <c r="F17" s="10"/>
      <c r="G17" s="10" t="s">
        <v>14</v>
      </c>
      <c r="H17" s="115">
        <f>ABS((I13-I15)/(SQRT(1/(E18-3)+1/(E20-3))))</f>
        <v>2.505356728699352</v>
      </c>
      <c r="I17" s="114"/>
      <c r="J17" s="8"/>
    </row>
    <row r="18" spans="2:10" ht="15.75">
      <c r="B18" s="113" t="s">
        <v>71</v>
      </c>
      <c r="C18" s="10"/>
      <c r="D18" s="10"/>
      <c r="E18" s="5">
        <v>603</v>
      </c>
      <c r="F18" s="10"/>
      <c r="G18" s="10" t="s">
        <v>16</v>
      </c>
      <c r="H18" s="115">
        <f>2*MIN(H19,I19)</f>
        <v>0.01223279466216387</v>
      </c>
      <c r="I18" s="114"/>
      <c r="J18" s="8"/>
    </row>
    <row r="19" spans="2:10" ht="15.75">
      <c r="B19" s="113" t="s">
        <v>72</v>
      </c>
      <c r="C19" s="10"/>
      <c r="D19" s="10"/>
      <c r="E19" s="4">
        <v>0.25</v>
      </c>
      <c r="F19" s="10"/>
      <c r="G19" s="10" t="s">
        <v>15</v>
      </c>
      <c r="H19" s="115">
        <f>1-NORMSDIST(H17)</f>
        <v>0.006116397331081935</v>
      </c>
      <c r="I19" s="115">
        <f>1-H19</f>
        <v>0.9938836026689181</v>
      </c>
      <c r="J19" s="8"/>
    </row>
    <row r="20" spans="2:10" ht="16.5" thickBot="1">
      <c r="B20" s="113" t="s">
        <v>73</v>
      </c>
      <c r="C20" s="10"/>
      <c r="D20" s="10"/>
      <c r="E20" s="2">
        <v>603</v>
      </c>
      <c r="F20" s="10"/>
      <c r="G20" s="9"/>
      <c r="H20" s="9"/>
      <c r="I20" s="9"/>
      <c r="J20" s="8"/>
    </row>
    <row r="21" spans="2:10" ht="15.75">
      <c r="B21" s="20"/>
      <c r="C21" s="10"/>
      <c r="D21" s="10"/>
      <c r="E21" s="10"/>
      <c r="F21" s="10"/>
      <c r="G21" s="10"/>
      <c r="H21" s="10"/>
      <c r="I21" s="10"/>
      <c r="J21" s="8"/>
    </row>
    <row r="22" spans="2:10" ht="15.75">
      <c r="B22" s="20" t="s">
        <v>67</v>
      </c>
      <c r="C22" s="10" t="s">
        <v>17</v>
      </c>
      <c r="D22" s="10"/>
      <c r="E22" s="10"/>
      <c r="F22" s="10"/>
      <c r="G22" s="10"/>
      <c r="H22" s="10"/>
      <c r="I22" s="10"/>
      <c r="J22" s="8"/>
    </row>
    <row r="23" spans="2:10" ht="16.5" thickBot="1">
      <c r="B23" s="21"/>
      <c r="C23" s="22"/>
      <c r="D23" s="22"/>
      <c r="E23" s="22"/>
      <c r="F23" s="22"/>
      <c r="G23" s="22"/>
      <c r="H23" s="22"/>
      <c r="I23" s="22"/>
      <c r="J23" s="23"/>
    </row>
    <row r="24" ht="15.75"/>
    <row r="25" ht="15.75"/>
    <row r="26" ht="15.75"/>
    <row r="28" ht="15.75"/>
    <row r="29" ht="15.75"/>
    <row r="30" ht="15.75"/>
    <row r="31" ht="15.75"/>
  </sheetData>
  <sheetProtection password="F624" sheet="1" objects="1" scenarios="1" selectLockedCells="1"/>
  <mergeCells count="1">
    <mergeCell ref="B2:J2"/>
  </mergeCells>
  <printOptions/>
  <pageMargins left="0.75" right="0.75" top="1" bottom="1" header="0.5" footer="0.5"/>
  <pageSetup horizontalDpi="300" verticalDpi="300" orientation="portrait" r:id="rId3"/>
  <headerFooter alignWithMargins="0">
    <oddHeader>&amp;C&amp;A</oddHeader>
    <oddFooter>&amp;CPage &amp;P</oddFooter>
  </headerFooter>
  <customProperties>
    <customPr name="DVSECTIONID" r:id="rId4"/>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Computer</cp:lastModifiedBy>
  <dcterms:created xsi:type="dcterms:W3CDTF">1997-02-13T23:02:31Z</dcterms:created>
  <dcterms:modified xsi:type="dcterms:W3CDTF">2011-10-22T22:40:38Z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17uIrncDrXQ1vQFi-0_tKKv81v4ztT1LIhEPMWkRachI</vt:lpwstr>
  </property>
  <property fmtid="{D5CDD505-2E9C-101B-9397-08002B2CF9AE}" pid="4" name="Google.Documents.RevisionId">
    <vt:lpwstr>14998067308636759162</vt:lpwstr>
  </property>
  <property fmtid="{D5CDD505-2E9C-101B-9397-08002B2CF9AE}" pid="5" name="Google.Documents.PreviousRevisionId">
    <vt:lpwstr>11260643455811160390</vt:lpwstr>
  </property>
  <property fmtid="{D5CDD505-2E9C-101B-9397-08002B2CF9AE}" pid="6" name="Google.Documents.PluginVersion">
    <vt:lpwstr>2.0.2154.5604</vt:lpwstr>
  </property>
  <property fmtid="{D5CDD505-2E9C-101B-9397-08002B2CF9AE}" pid="7" name="Google.Documents.MergeIncapabilityFlags">
    <vt:i4>0</vt:i4>
  </property>
</Properties>
</file>